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I:\3. Virksomhet Økonomi og finans\Nye Regnskapsavd\Barnehager\2027\Endelig modell KS-PBL pr. 080626\"/>
    </mc:Choice>
  </mc:AlternateContent>
  <xr:revisionPtr revIDLastSave="0" documentId="13_ncr:1_{8F18A015-FFE7-45E9-8A0A-7B01E1BD6F8B}" xr6:coauthVersionLast="47" xr6:coauthVersionMax="47" xr10:uidLastSave="{00000000-0000-0000-0000-000000000000}"/>
  <bookViews>
    <workbookView xWindow="-108" yWindow="-108" windowWidth="23256" windowHeight="13896" tabRatio="943" xr2:uid="{00000000-000D-0000-FFFF-FFFF00000000}"/>
  </bookViews>
  <sheets>
    <sheet name="Oppsummering Kostra 221 - 2025" sheetId="9" r:id="rId1"/>
    <sheet name="Investering of. drift 2025" sheetId="10" r:id="rId2"/>
    <sheet name="Fordeling Brevik oppvekstsenter" sheetId="6" r:id="rId3"/>
    <sheet name="Lønn renhold 2 barnehager" sheetId="5" r:id="rId4"/>
    <sheet name="Forsikringer 2025" sheetId="1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3" i="9" l="1"/>
  <c r="AA14" i="9"/>
  <c r="Z15" i="9"/>
  <c r="W23" i="9" l="1"/>
  <c r="L37" i="12"/>
  <c r="K34" i="12"/>
  <c r="K30" i="12"/>
  <c r="K27" i="12"/>
  <c r="K26" i="12"/>
  <c r="K24" i="12"/>
  <c r="J35" i="12"/>
  <c r="I65" i="10"/>
  <c r="I62" i="10"/>
  <c r="I61" i="10"/>
  <c r="K50" i="10"/>
  <c r="K49" i="10"/>
  <c r="G11" i="9" l="1"/>
  <c r="Y11" i="9" s="1"/>
  <c r="E11" i="9"/>
  <c r="C11" i="9"/>
  <c r="K37" i="12"/>
  <c r="J37" i="12"/>
  <c r="O58" i="10"/>
  <c r="K59" i="10"/>
  <c r="O54" i="10"/>
  <c r="O55" i="10"/>
  <c r="O56" i="10"/>
  <c r="O57" i="10"/>
  <c r="O53" i="10"/>
  <c r="Y8" i="9"/>
  <c r="F9" i="9"/>
  <c r="Y9" i="9" s="1"/>
  <c r="F14" i="9"/>
  <c r="F13" i="9"/>
  <c r="F12" i="9"/>
  <c r="F10" i="9"/>
  <c r="F8" i="9"/>
  <c r="F6" i="9"/>
  <c r="Y6" i="9" s="1"/>
  <c r="F5" i="9"/>
  <c r="F4" i="9"/>
  <c r="F3" i="9"/>
  <c r="E4" i="9"/>
  <c r="V15" i="9"/>
  <c r="S15" i="9"/>
  <c r="R15" i="9"/>
  <c r="P15" i="9"/>
  <c r="O15" i="9"/>
  <c r="M15" i="9"/>
  <c r="L15" i="9"/>
  <c r="I15" i="9"/>
  <c r="Q14" i="9"/>
  <c r="N14" i="9"/>
  <c r="J14" i="9"/>
  <c r="J15" i="9" s="1"/>
  <c r="D14" i="9"/>
  <c r="Q13" i="9"/>
  <c r="G13" i="9"/>
  <c r="E13" i="9"/>
  <c r="D13" i="9"/>
  <c r="C13" i="9"/>
  <c r="Q12" i="9"/>
  <c r="N12" i="9"/>
  <c r="D12" i="9"/>
  <c r="D11" i="9"/>
  <c r="D10" i="9"/>
  <c r="D9" i="9"/>
  <c r="Q8" i="9"/>
  <c r="D8" i="9"/>
  <c r="Q7" i="9"/>
  <c r="N7" i="9"/>
  <c r="Y7" i="9" s="1"/>
  <c r="G6" i="9"/>
  <c r="E6" i="9"/>
  <c r="D6" i="9"/>
  <c r="C6" i="9"/>
  <c r="Q5" i="9"/>
  <c r="K5" i="9"/>
  <c r="D5" i="9"/>
  <c r="X4" i="9"/>
  <c r="X15" i="9" s="1"/>
  <c r="U4" i="9"/>
  <c r="U15" i="9" s="1"/>
  <c r="Q4" i="9"/>
  <c r="K4" i="9"/>
  <c r="D4" i="9"/>
  <c r="W3" i="9"/>
  <c r="W15" i="9" s="1"/>
  <c r="T3" i="9"/>
  <c r="T15" i="9" s="1"/>
  <c r="Q3" i="9"/>
  <c r="N3" i="9"/>
  <c r="K3" i="9"/>
  <c r="H3" i="9"/>
  <c r="H15" i="9" s="1"/>
  <c r="G3" i="9"/>
  <c r="D3" i="9"/>
  <c r="B3" i="9"/>
  <c r="B15" i="9" s="1"/>
  <c r="D10" i="6"/>
  <c r="D8" i="6"/>
  <c r="D7" i="6"/>
  <c r="D5" i="6"/>
  <c r="D4" i="6"/>
  <c r="J30" i="5"/>
  <c r="J37" i="5" s="1"/>
  <c r="J38" i="5" s="1"/>
  <c r="J39" i="5" s="1"/>
  <c r="J24" i="5"/>
  <c r="J25" i="5" s="1"/>
  <c r="E7" i="5"/>
  <c r="F7" i="5" s="1"/>
  <c r="I16" i="5"/>
  <c r="H10" i="5"/>
  <c r="H12" i="5"/>
  <c r="H13" i="5"/>
  <c r="H14" i="5"/>
  <c r="H15" i="5"/>
  <c r="I15" i="5" s="1"/>
  <c r="I17" i="5" s="1"/>
  <c r="H16" i="5"/>
  <c r="H17" i="5"/>
  <c r="H18" i="5"/>
  <c r="H19" i="5"/>
  <c r="H20" i="5"/>
  <c r="H11" i="5"/>
  <c r="D3" i="5"/>
  <c r="D4" i="5"/>
  <c r="E4" i="5" s="1"/>
  <c r="J13" i="5" l="1"/>
  <c r="J23" i="5" s="1"/>
  <c r="E3" i="5"/>
  <c r="I20" i="5"/>
  <c r="P56" i="10"/>
  <c r="O59" i="10"/>
  <c r="Y12" i="9"/>
  <c r="Y14" i="9"/>
  <c r="Y13" i="9"/>
  <c r="Y10" i="9"/>
  <c r="Y5" i="9"/>
  <c r="Y3" i="9"/>
  <c r="Y4" i="9"/>
  <c r="F15" i="9"/>
  <c r="D15" i="9"/>
  <c r="E15" i="9"/>
  <c r="K15" i="9"/>
  <c r="N15" i="9"/>
  <c r="C15" i="9"/>
  <c r="Q15" i="9"/>
  <c r="G15" i="9"/>
  <c r="F4" i="5"/>
  <c r="G4" i="5" s="1"/>
  <c r="I4" i="5" s="1"/>
  <c r="F3" i="5"/>
  <c r="G3" i="5" l="1"/>
  <c r="I3" i="5" s="1"/>
  <c r="Y15" i="9"/>
</calcChain>
</file>

<file path=xl/sharedStrings.xml><?xml version="1.0" encoding="utf-8"?>
<sst xmlns="http://schemas.openxmlformats.org/spreadsheetml/2006/main" count="571" uniqueCount="150">
  <si>
    <t>Beløp</t>
  </si>
  <si>
    <t>Anlegg</t>
  </si>
  <si>
    <t>2121 - Nye Brevik oppvekstsenter</t>
  </si>
  <si>
    <t>2301 - Brattås barnehage</t>
  </si>
  <si>
    <t>2302 - Hovenga barnehage</t>
  </si>
  <si>
    <t>2304 - Rønningen barnehage</t>
  </si>
  <si>
    <t>2307 - Lundelia barnehage</t>
  </si>
  <si>
    <t>2312 - Vallermyrene barnehage</t>
  </si>
  <si>
    <t>2314 - Radehuset barnehage</t>
  </si>
  <si>
    <t>2316 - Vestsiden barnehage</t>
  </si>
  <si>
    <t>2317 - Flåtten barnehage</t>
  </si>
  <si>
    <t>2319 - Maristien barnehage</t>
  </si>
  <si>
    <t>Sum total</t>
  </si>
  <si>
    <t>Konto</t>
  </si>
  <si>
    <t>10500 - Annen lønn</t>
  </si>
  <si>
    <t>10750 - Renhold lønn</t>
  </si>
  <si>
    <t>10900 - Pensjonsinnskudd KLP</t>
  </si>
  <si>
    <t>10990 - Arbeidsgiveravgift</t>
  </si>
  <si>
    <t>11202 - Rengjøringsmateriell</t>
  </si>
  <si>
    <t>11801 - Strøm</t>
  </si>
  <si>
    <t>11953 - Kommunale gebyr</t>
  </si>
  <si>
    <t>12001 - Inventar og utstyr</t>
  </si>
  <si>
    <t>12004 - IT-utstyr</t>
  </si>
  <si>
    <t>12403 - Driftsavtaler utearealer</t>
  </si>
  <si>
    <t>Konto (T)</t>
  </si>
  <si>
    <t>Ansvar</t>
  </si>
  <si>
    <t>Ansvar (T)</t>
  </si>
  <si>
    <t>Tjeneste</t>
  </si>
  <si>
    <t>Tjeneste (T)</t>
  </si>
  <si>
    <t>Anlegg (T)</t>
  </si>
  <si>
    <t>Brattås barnehage</t>
  </si>
  <si>
    <t>Hovenga barnehage</t>
  </si>
  <si>
    <t>Rønningen barnehage</t>
  </si>
  <si>
    <t>Vallermyrene barnehage</t>
  </si>
  <si>
    <t>Radehuset barnehage</t>
  </si>
  <si>
    <t>Flåtten barnehage</t>
  </si>
  <si>
    <t>Maristien barnehage</t>
  </si>
  <si>
    <t>Radehuset</t>
  </si>
  <si>
    <t>Flåtten</t>
  </si>
  <si>
    <t>Flåtten BH</t>
  </si>
  <si>
    <t>Lønn renhold i regnskap</t>
  </si>
  <si>
    <t>Lønn faste stillinger</t>
  </si>
  <si>
    <t>1. Lønn</t>
  </si>
  <si>
    <t>Vikarlønn</t>
  </si>
  <si>
    <t>Renhold lønn</t>
  </si>
  <si>
    <t>Renhold vikarlønn ved sykdom</t>
  </si>
  <si>
    <t>Renhold vikarlønn ved ferie</t>
  </si>
  <si>
    <t>Renhold ekstrahjelp</t>
  </si>
  <si>
    <t>Renhold overtid</t>
  </si>
  <si>
    <t>Pensjonsinnskudd KLP</t>
  </si>
  <si>
    <t>9. Pensjon</t>
  </si>
  <si>
    <t>Fri gruppelivsforsikring</t>
  </si>
  <si>
    <t>Fri ulykkesforsikring</t>
  </si>
  <si>
    <t>Arbeidsgiveravgift</t>
  </si>
  <si>
    <t>91. Arbeidsgiveravgift</t>
  </si>
  <si>
    <t>Radehuset BH</t>
  </si>
  <si>
    <t xml:space="preserve">Skal være </t>
  </si>
  <si>
    <t xml:space="preserve">Mangler </t>
  </si>
  <si>
    <t>AGA</t>
  </si>
  <si>
    <t>Pensjon</t>
  </si>
  <si>
    <t>Kommunale gebyrer</t>
  </si>
  <si>
    <t>Strøm</t>
  </si>
  <si>
    <t>IT-kostnader</t>
  </si>
  <si>
    <t>Driftsavtaler uteareal</t>
  </si>
  <si>
    <t>Driftsavtale brann- og sprinkelanlegg</t>
  </si>
  <si>
    <t>Lik de andre BH</t>
  </si>
  <si>
    <t>221*</t>
  </si>
  <si>
    <t>Barnehage</t>
  </si>
  <si>
    <t>SUM</t>
  </si>
  <si>
    <t>Prosjekt</t>
  </si>
  <si>
    <t>Prosjekt (T)</t>
  </si>
  <si>
    <t>MVA-kompensasjon på vederlag</t>
  </si>
  <si>
    <t>Løpende ombygging/utvikling, barnehagelokaler</t>
  </si>
  <si>
    <t>Eiendomsdrift - maskiner ÅBEV</t>
  </si>
  <si>
    <t>Verktøy</t>
  </si>
  <si>
    <t>Byggelånsrente</t>
  </si>
  <si>
    <t>Eiendomsforv. utviklingstiltak ÅBEV</t>
  </si>
  <si>
    <t>Vedlikehold - entreprenør bygn/anl.</t>
  </si>
  <si>
    <t>Utearealer skole og barnehage ÅBEV</t>
  </si>
  <si>
    <t>Utstyr og verktøy</t>
  </si>
  <si>
    <t>2306 - Lyngveien barnehage 1/2 år</t>
  </si>
  <si>
    <t>Felles byggdrift og renhold - bla. Kjøretøy</t>
  </si>
  <si>
    <t>10902 - Fri gruppeliv/ulykke</t>
  </si>
  <si>
    <t>10751 - Renhold vikar sykdom</t>
  </si>
  <si>
    <t>11851 - Alarm og vakthold</t>
  </si>
  <si>
    <t>11856 - Personforsikringer</t>
  </si>
  <si>
    <t>12101 - Leasing transportmidler</t>
  </si>
  <si>
    <t>12304 - Vedlikehold</t>
  </si>
  <si>
    <t>12405 - Skadedyrforeb.</t>
  </si>
  <si>
    <t>12407 - Serviceavtale - brann</t>
  </si>
  <si>
    <t>14291 - MVA-komp.</t>
  </si>
  <si>
    <t>16501 - Avgiftsp</t>
  </si>
  <si>
    <t>17101 - Ref. sykep.</t>
  </si>
  <si>
    <t>17291 - MVA. komp.</t>
  </si>
  <si>
    <t>11201 - Annet forbruksmateriell</t>
  </si>
  <si>
    <t>Inventar og utstyr</t>
  </si>
  <si>
    <t>Barnehagene, inventar og utstyr ÅBEV</t>
  </si>
  <si>
    <t>Brevik barnehage</t>
  </si>
  <si>
    <t>Brattås Barnehage ikt/inventar</t>
  </si>
  <si>
    <t>Hovenga Barnehage inventar</t>
  </si>
  <si>
    <t>Annet forbruksmateriell/råvarer og tjenester</t>
  </si>
  <si>
    <t>Rønningen Barnehage IT-utstyr/inventar</t>
  </si>
  <si>
    <t>IT-utstyr</t>
  </si>
  <si>
    <t>Maristien barnehage - inventar</t>
  </si>
  <si>
    <t>02001</t>
  </si>
  <si>
    <t>04291</t>
  </si>
  <si>
    <t>05007</t>
  </si>
  <si>
    <t>01201</t>
  </si>
  <si>
    <t>02004</t>
  </si>
  <si>
    <t>07291</t>
  </si>
  <si>
    <t>Utgifter til Rønningen barnehage overføres ikke drift.</t>
  </si>
  <si>
    <t>Rønningen barnehage ble i 2024 overført til Porsgrunn kommune.</t>
  </si>
  <si>
    <t>Garderober måtte oppgraderes (ikke vedlikehold).</t>
  </si>
  <si>
    <t>02304</t>
  </si>
  <si>
    <t>02002</t>
  </si>
  <si>
    <t>NY platting Maristien BH</t>
  </si>
  <si>
    <t>Ombygging garderober m.m</t>
  </si>
  <si>
    <t>Bilagsnummer</t>
  </si>
  <si>
    <t>Forsikringer kommunens eiendeler</t>
  </si>
  <si>
    <t>Eiendomsforvaltning</t>
  </si>
  <si>
    <t>Forvaltningsutgifter i eiendomsforvaltningen</t>
  </si>
  <si>
    <t>Lyngveien barnehage</t>
  </si>
  <si>
    <t>Lundelia barnehage</t>
  </si>
  <si>
    <t>Frednes barnehage</t>
  </si>
  <si>
    <t>Skrukkerød ressurs- og kompetansesenter - Tidl.Skrukkerød Barnehage</t>
  </si>
  <si>
    <t>Hovet Ring 11A-B</t>
  </si>
  <si>
    <t>Vestsiden barnehage</t>
  </si>
  <si>
    <t>Korrigert for bygg som ikke er barnehager:</t>
  </si>
  <si>
    <t>Nedlagt 010825</t>
  </si>
  <si>
    <t>Brevik oppvekstsenter 20 % barnehage</t>
  </si>
  <si>
    <t>Legges inn</t>
  </si>
  <si>
    <t>Ikke barnehage</t>
  </si>
  <si>
    <t>Brevik oppvekstsenter :</t>
  </si>
  <si>
    <t>Kostnader fordeles etter areal med 20 % på barnehage og 80 % på skole.</t>
  </si>
  <si>
    <t>Lyngveien barnehage:</t>
  </si>
  <si>
    <t>Barnehagen ble nedlagt sommeren 2025.</t>
  </si>
  <si>
    <t>Mva. kompensasjon</t>
  </si>
  <si>
    <t>Netto utg. inkl. mva komp.</t>
  </si>
  <si>
    <t xml:space="preserve">Netto kostnad ex. Mva. </t>
  </si>
  <si>
    <t>Uttrekk Rønningen BH ex. Mva.</t>
  </si>
  <si>
    <t>Overføres satsberegning</t>
  </si>
  <si>
    <t>Utgifter ført i investeringsregnskapet som tas med i satsberegningen :</t>
  </si>
  <si>
    <t>Kostnader ført på prosjekt 2156, 6961 og 6973, er riktig klassifisert som investeringsutgifter (ingen overføring til satsberegning)</t>
  </si>
  <si>
    <t xml:space="preserve">Andel av utstyr </t>
  </si>
  <si>
    <t>Fordelingsnøkkel som er benyttet er AREAL.</t>
  </si>
  <si>
    <t>Uttrekk/fordeling</t>
  </si>
  <si>
    <t>Drift 1/2 år</t>
  </si>
  <si>
    <t>20 % fordeling</t>
  </si>
  <si>
    <t>Forsikring Maristien</t>
  </si>
  <si>
    <t>Sum uttrekk Maristien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</si>
</sst>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_ ;[Red]\-#,##0\ "/>
    <numFmt numFmtId="165" formatCode="_-* #,##0.00_-;\-* #,##0.00_-;_-* &quot;-&quot;??_-;_-@_-"/>
    <numFmt numFmtId="166" formatCode="#,##0.0_ ;[Red]\-#,##0.0\ "/>
    <numFmt numFmtId="167" formatCode="0.0\ %"/>
    <numFmt numFmtId="168" formatCode="0_ ;[Red]\-0\ "/>
    <numFmt numFmtId="169" formatCode="#,##0.00_ ;[Red]\-#,##0.00\ "/>
  </numFmts>
  <fonts count="5" x14ac:knownFonts="1">
    <font>
      <sz val="10"/>
      <name val="Arial"/>
    </font>
    <font>
      <sz val="8"/>
      <name val="Tahoma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/>
      <bottom/>
      <diagonal/>
    </border>
  </borders>
  <cellStyleXfs count="3">
    <xf numFmtId="0" fontId="0" fillId="0" borderId="0"/>
    <xf numFmtId="0" fontId="2" fillId="0" borderId="0"/>
    <xf numFmtId="165" fontId="2" fillId="0" borderId="0" applyFont="0" applyFill="0" applyBorder="0" applyAlignment="0" applyProtection="0"/>
  </cellStyleXfs>
  <cellXfs count="51">
    <xf numFmtId="0" fontId="0" fillId="0" borderId="0" xfId="0"/>
    <xf numFmtId="49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top"/>
    </xf>
    <xf numFmtId="3" fontId="1" fillId="0" borderId="1" xfId="0" applyNumberFormat="1" applyFont="1" applyBorder="1" applyAlignment="1">
      <alignment horizontal="right" vertical="center"/>
    </xf>
    <xf numFmtId="164" fontId="0" fillId="0" borderId="0" xfId="0" applyNumberFormat="1"/>
    <xf numFmtId="0" fontId="2" fillId="0" borderId="0" xfId="0" applyFont="1"/>
    <xf numFmtId="3" fontId="0" fillId="0" borderId="0" xfId="0" applyNumberFormat="1"/>
    <xf numFmtId="10" fontId="0" fillId="0" borderId="0" xfId="0" applyNumberFormat="1"/>
    <xf numFmtId="9" fontId="0" fillId="0" borderId="0" xfId="0" applyNumberFormat="1"/>
    <xf numFmtId="0" fontId="3" fillId="6" borderId="2" xfId="1" applyFont="1" applyFill="1" applyBorder="1"/>
    <xf numFmtId="4" fontId="2" fillId="6" borderId="2" xfId="1" applyNumberFormat="1" applyFill="1" applyBorder="1"/>
    <xf numFmtId="3" fontId="2" fillId="3" borderId="2" xfId="2" applyNumberFormat="1" applyFont="1" applyFill="1" applyBorder="1"/>
    <xf numFmtId="0" fontId="2" fillId="6" borderId="2" xfId="1" applyFill="1" applyBorder="1"/>
    <xf numFmtId="0" fontId="2" fillId="6" borderId="0" xfId="1" applyFill="1"/>
    <xf numFmtId="49" fontId="1" fillId="3" borderId="1" xfId="0" applyNumberFormat="1" applyFont="1" applyFill="1" applyBorder="1" applyAlignment="1">
      <alignment horizontal="left" vertical="center"/>
    </xf>
    <xf numFmtId="49" fontId="1" fillId="5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166" fontId="0" fillId="0" borderId="0" xfId="0" applyNumberFormat="1"/>
    <xf numFmtId="167" fontId="0" fillId="0" borderId="0" xfId="0" applyNumberFormat="1"/>
    <xf numFmtId="49" fontId="0" fillId="0" borderId="0" xfId="0" applyNumberFormat="1"/>
    <xf numFmtId="168" fontId="0" fillId="0" borderId="0" xfId="0" applyNumberFormat="1"/>
    <xf numFmtId="169" fontId="0" fillId="0" borderId="0" xfId="0" applyNumberFormat="1"/>
    <xf numFmtId="49" fontId="4" fillId="3" borderId="0" xfId="0" applyNumberFormat="1" applyFont="1" applyFill="1"/>
    <xf numFmtId="166" fontId="4" fillId="3" borderId="0" xfId="0" applyNumberFormat="1" applyFont="1" applyFill="1"/>
    <xf numFmtId="168" fontId="4" fillId="3" borderId="0" xfId="0" applyNumberFormat="1" applyFont="1" applyFill="1"/>
    <xf numFmtId="169" fontId="4" fillId="3" borderId="0" xfId="0" applyNumberFormat="1" applyFont="1" applyFill="1"/>
    <xf numFmtId="49" fontId="2" fillId="0" borderId="0" xfId="0" applyNumberFormat="1" applyFont="1"/>
    <xf numFmtId="169" fontId="0" fillId="4" borderId="0" xfId="0" applyNumberFormat="1" applyFill="1"/>
    <xf numFmtId="166" fontId="2" fillId="0" borderId="0" xfId="0" applyNumberFormat="1" applyFont="1"/>
    <xf numFmtId="164" fontId="0" fillId="3" borderId="0" xfId="0" applyNumberFormat="1" applyFill="1"/>
    <xf numFmtId="164" fontId="0" fillId="4" borderId="0" xfId="0" applyNumberFormat="1" applyFill="1"/>
    <xf numFmtId="0" fontId="0" fillId="5" borderId="0" xfId="0" applyFill="1"/>
    <xf numFmtId="3" fontId="1" fillId="7" borderId="1" xfId="0" applyNumberFormat="1" applyFont="1" applyFill="1" applyBorder="1" applyAlignment="1">
      <alignment horizontal="right" vertical="center"/>
    </xf>
    <xf numFmtId="0" fontId="0" fillId="7" borderId="0" xfId="0" applyFill="1"/>
    <xf numFmtId="49" fontId="1" fillId="7" borderId="1" xfId="0" applyNumberFormat="1" applyFont="1" applyFill="1" applyBorder="1" applyAlignment="1">
      <alignment horizontal="left" vertical="center"/>
    </xf>
    <xf numFmtId="166" fontId="0" fillId="0" borderId="3" xfId="0" applyNumberFormat="1" applyBorder="1"/>
    <xf numFmtId="169" fontId="0" fillId="0" borderId="3" xfId="0" applyNumberFormat="1" applyBorder="1"/>
    <xf numFmtId="166" fontId="0" fillId="8" borderId="0" xfId="0" applyNumberFormat="1" applyFill="1"/>
    <xf numFmtId="168" fontId="0" fillId="8" borderId="0" xfId="0" applyNumberFormat="1" applyFill="1"/>
    <xf numFmtId="164" fontId="0" fillId="8" borderId="0" xfId="0" applyNumberFormat="1" applyFill="1"/>
    <xf numFmtId="166" fontId="2" fillId="8" borderId="0" xfId="0" applyNumberFormat="1" applyFont="1" applyFill="1"/>
    <xf numFmtId="0" fontId="2" fillId="8" borderId="0" xfId="0" applyFont="1" applyFill="1"/>
    <xf numFmtId="9" fontId="0" fillId="8" borderId="0" xfId="0" applyNumberFormat="1" applyFill="1"/>
    <xf numFmtId="0" fontId="0" fillId="9" borderId="0" xfId="0" applyFill="1"/>
    <xf numFmtId="164" fontId="0" fillId="9" borderId="0" xfId="0" applyNumberFormat="1" applyFill="1"/>
    <xf numFmtId="0" fontId="2" fillId="9" borderId="0" xfId="0" applyFont="1" applyFill="1"/>
    <xf numFmtId="0" fontId="2" fillId="0" borderId="0" xfId="0" applyFont="1" applyAlignment="1">
      <alignment wrapText="1"/>
    </xf>
    <xf numFmtId="3" fontId="1" fillId="0" borderId="4" xfId="0" applyNumberFormat="1" applyFont="1" applyBorder="1" applyAlignment="1">
      <alignment horizontal="right" vertical="center"/>
    </xf>
  </cellXfs>
  <cellStyles count="3">
    <cellStyle name="Komma 2 2" xfId="2" xr:uid="{2C7D6E33-0ED0-4267-BD0B-EEF5FCA236F7}"/>
    <cellStyle name="Normal" xfId="0" builtinId="0"/>
    <cellStyle name="Normal 6" xfId="1" xr:uid="{B3B4AF1C-55A8-48A5-9D64-65F039F3B022}"/>
  </cellStyles>
  <dxfs count="6">
    <dxf>
      <font>
        <color rgb="FF9C0006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fgColor indexed="64"/>
          <bgColor rgb="FFFFC7CE"/>
        </patternFill>
      </fill>
    </dxf>
    <dxf>
      <font>
        <color rgb="FF000000"/>
      </font>
      <fill>
        <patternFill patternType="solid">
          <fgColor indexed="64"/>
          <bgColor rgb="FFF4B183"/>
        </patternFill>
      </fill>
    </dxf>
    <dxf>
      <font>
        <color rgb="FF000000"/>
      </font>
      <fill>
        <patternFill patternType="solid">
          <fgColor indexed="64"/>
          <bgColor rgb="FFF4B183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F0F0F0"/>
      <rgbColor rgb="00A0A0A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16</xdr:col>
      <xdr:colOff>564074</xdr:colOff>
      <xdr:row>15</xdr:row>
      <xdr:rowOff>85782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8C3FF8D-DDF8-DEA9-1B49-EA7A16710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05025"/>
          <a:ext cx="15042074" cy="4096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37</xdr:row>
      <xdr:rowOff>76200</xdr:rowOff>
    </xdr:from>
    <xdr:to>
      <xdr:col>10</xdr:col>
      <xdr:colOff>572300</xdr:colOff>
      <xdr:row>47</xdr:row>
      <xdr:rowOff>34435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70A616F-0425-4EB3-8D80-EC1F3625A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24125" y="6067425"/>
          <a:ext cx="8887625" cy="15774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70C67-E3E9-40D7-A30B-AF89F34BBA58}">
  <dimension ref="A1:AA23"/>
  <sheetViews>
    <sheetView tabSelected="1" zoomScaleNormal="100" workbookViewId="0">
      <pane xSplit="1" topLeftCell="J1" activePane="topRight" state="frozen"/>
      <selection activeCell="A11" sqref="A11"/>
      <selection pane="topRight" activeCell="U29" sqref="U29"/>
    </sheetView>
  </sheetViews>
  <sheetFormatPr baseColWidth="10" defaultRowHeight="13.2" x14ac:dyDescent="0.25"/>
  <cols>
    <col min="1" max="1" width="28.6640625" customWidth="1"/>
    <col min="2" max="2" width="11" customWidth="1"/>
    <col min="3" max="3" width="9.88671875" customWidth="1"/>
    <col min="4" max="4" width="10.6640625" customWidth="1"/>
    <col min="5" max="5" width="9.109375" customWidth="1"/>
    <col min="6" max="6" width="9.44140625" customWidth="1"/>
    <col min="7" max="7" width="9.109375" customWidth="1"/>
    <col min="8" max="8" width="9.5546875" customWidth="1"/>
    <col min="9" max="9" width="9.33203125" customWidth="1"/>
    <col min="10" max="10" width="8.6640625" customWidth="1"/>
    <col min="11" max="11" width="8.88671875" customWidth="1"/>
    <col min="12" max="12" width="8.6640625" customWidth="1"/>
    <col min="13" max="13" width="9.33203125" customWidth="1"/>
    <col min="14" max="14" width="9" customWidth="1"/>
    <col min="15" max="15" width="11.109375" customWidth="1"/>
    <col min="16" max="16" width="9.6640625" customWidth="1"/>
    <col min="17" max="17" width="10" customWidth="1"/>
    <col min="18" max="18" width="10.109375" customWidth="1"/>
    <col min="19" max="19" width="10" customWidth="1"/>
    <col min="20" max="20" width="10.33203125" customWidth="1"/>
    <col min="21" max="21" width="9.5546875" customWidth="1"/>
    <col min="22" max="22" width="7.33203125" customWidth="1"/>
    <col min="23" max="23" width="9.6640625" customWidth="1"/>
    <col min="24" max="24" width="9.5546875" customWidth="1"/>
    <col min="25" max="25" width="8.5546875" customWidth="1"/>
    <col min="26" max="213" width="16.109375" customWidth="1"/>
  </cols>
  <sheetData>
    <row r="1" spans="1:27" ht="15.15" customHeight="1" x14ac:dyDescent="0.25">
      <c r="A1" s="1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7" s="19" customFormat="1" ht="42.6" customHeight="1" x14ac:dyDescent="0.25">
      <c r="A2" s="17" t="s">
        <v>1</v>
      </c>
      <c r="B2" s="17" t="s">
        <v>14</v>
      </c>
      <c r="C2" s="17" t="s">
        <v>15</v>
      </c>
      <c r="D2" s="17" t="s">
        <v>83</v>
      </c>
      <c r="E2" s="17" t="s">
        <v>16</v>
      </c>
      <c r="F2" s="17" t="s">
        <v>82</v>
      </c>
      <c r="G2" s="17" t="s">
        <v>17</v>
      </c>
      <c r="H2" s="17" t="s">
        <v>94</v>
      </c>
      <c r="I2" s="17" t="s">
        <v>18</v>
      </c>
      <c r="J2" s="17" t="s">
        <v>19</v>
      </c>
      <c r="K2" s="17" t="s">
        <v>84</v>
      </c>
      <c r="L2" s="17" t="s">
        <v>85</v>
      </c>
      <c r="M2" s="17" t="s">
        <v>20</v>
      </c>
      <c r="N2" s="17" t="s">
        <v>21</v>
      </c>
      <c r="O2" s="17" t="s">
        <v>22</v>
      </c>
      <c r="P2" s="17" t="s">
        <v>86</v>
      </c>
      <c r="Q2" s="17" t="s">
        <v>87</v>
      </c>
      <c r="R2" s="17" t="s">
        <v>23</v>
      </c>
      <c r="S2" s="17" t="s">
        <v>88</v>
      </c>
      <c r="T2" s="17" t="s">
        <v>89</v>
      </c>
      <c r="U2" s="17" t="s">
        <v>90</v>
      </c>
      <c r="V2" s="17" t="s">
        <v>91</v>
      </c>
      <c r="W2" s="17" t="s">
        <v>92</v>
      </c>
      <c r="X2" s="17" t="s">
        <v>93</v>
      </c>
      <c r="Y2" s="18" t="s">
        <v>12</v>
      </c>
      <c r="Z2" s="49" t="s">
        <v>148</v>
      </c>
    </row>
    <row r="3" spans="1:27" ht="15.15" customHeight="1" x14ac:dyDescent="0.25">
      <c r="A3" s="1" t="s">
        <v>81</v>
      </c>
      <c r="B3" s="4">
        <f>1583+2048+2545+9929+13119+4392+90784+593597.84</f>
        <v>717997.84</v>
      </c>
      <c r="C3" s="4">
        <v>25569.599999999999</v>
      </c>
      <c r="D3" s="4">
        <f>28297.321955+4169</f>
        <v>32466.321954999999</v>
      </c>
      <c r="E3" s="4">
        <v>116234.29</v>
      </c>
      <c r="F3" s="4">
        <f>1134.68+36</f>
        <v>1170.68</v>
      </c>
      <c r="G3" s="4">
        <f>83994.28+141.63</f>
        <v>84135.91</v>
      </c>
      <c r="H3" s="4">
        <f>56417.15+1560+744+3973+6212+4758-4392+53546+10188+11291+18941+867</f>
        <v>164105.15</v>
      </c>
      <c r="I3" s="4">
        <v>1005</v>
      </c>
      <c r="J3" s="4"/>
      <c r="K3" s="4">
        <f>2555+25265</f>
        <v>27820</v>
      </c>
      <c r="L3" s="4">
        <v>540.96</v>
      </c>
      <c r="M3" s="4"/>
      <c r="N3" s="4">
        <f>3906.38+714</f>
        <v>4620.38</v>
      </c>
      <c r="O3" s="4">
        <v>258</v>
      </c>
      <c r="P3" s="4">
        <v>192903.27</v>
      </c>
      <c r="Q3" s="4">
        <f>2557.8+10203</f>
        <v>12760.8</v>
      </c>
      <c r="R3" s="4"/>
      <c r="S3" s="4">
        <v>137.19999999999999</v>
      </c>
      <c r="T3" s="4">
        <f>20832.8+827</f>
        <v>21659.8</v>
      </c>
      <c r="U3" s="4">
        <v>84486.9</v>
      </c>
      <c r="V3" s="4"/>
      <c r="W3" s="4">
        <f>-238855.56-59258.17-28813.32</f>
        <v>-326927.05</v>
      </c>
      <c r="X3" s="4">
        <v>-84486.9</v>
      </c>
      <c r="Y3" s="4">
        <f>SUM(B3:X3)</f>
        <v>1076458.1519549999</v>
      </c>
    </row>
    <row r="4" spans="1:27" ht="15.15" customHeight="1" x14ac:dyDescent="0.25">
      <c r="A4" s="37" t="s">
        <v>2</v>
      </c>
      <c r="B4" s="4"/>
      <c r="C4" s="4">
        <v>218620</v>
      </c>
      <c r="D4" s="4">
        <f>879</f>
        <v>879</v>
      </c>
      <c r="E4" s="4">
        <f>34587.71+126.57</f>
        <v>34714.28</v>
      </c>
      <c r="F4" s="4">
        <f>1134.68+36</f>
        <v>1170.68</v>
      </c>
      <c r="G4" s="4">
        <v>35867.35</v>
      </c>
      <c r="H4" s="4">
        <v>85576.6</v>
      </c>
      <c r="I4" s="4">
        <v>23575.32</v>
      </c>
      <c r="J4" s="35">
        <v>55049</v>
      </c>
      <c r="K4" s="4">
        <f>5004+1485</f>
        <v>6489</v>
      </c>
      <c r="L4" s="4">
        <v>540.96</v>
      </c>
      <c r="M4" s="35">
        <v>40276</v>
      </c>
      <c r="N4" s="4"/>
      <c r="O4" s="35">
        <v>3890</v>
      </c>
      <c r="P4" s="4"/>
      <c r="Q4" s="4">
        <f>8356+2606</f>
        <v>10962</v>
      </c>
      <c r="R4" s="35">
        <v>17197</v>
      </c>
      <c r="S4" s="4"/>
      <c r="T4" s="35">
        <v>3935</v>
      </c>
      <c r="U4" s="4">
        <f>28539+2089</f>
        <v>30628</v>
      </c>
      <c r="V4" s="4"/>
      <c r="W4" s="4"/>
      <c r="X4" s="4">
        <f>-28539-2089</f>
        <v>-30628</v>
      </c>
      <c r="Y4" s="4">
        <f t="shared" ref="Y4:Y14" si="0">SUM(B4:X4)</f>
        <v>538742.19000000006</v>
      </c>
    </row>
    <row r="5" spans="1:27" ht="15.15" customHeight="1" x14ac:dyDescent="0.25">
      <c r="A5" s="15" t="s">
        <v>3</v>
      </c>
      <c r="B5" s="4"/>
      <c r="C5" s="4">
        <v>176880.14</v>
      </c>
      <c r="D5" s="4">
        <f>2846.19+4810+1809+700</f>
        <v>10165.19</v>
      </c>
      <c r="E5" s="4">
        <v>29329.51</v>
      </c>
      <c r="F5" s="4">
        <f>472.72+15</f>
        <v>487.72</v>
      </c>
      <c r="G5" s="4">
        <v>30577.59</v>
      </c>
      <c r="H5" s="4">
        <v>25735.78</v>
      </c>
      <c r="I5" s="4">
        <v>8621.65</v>
      </c>
      <c r="J5" s="4">
        <v>117949.6</v>
      </c>
      <c r="K5" s="4">
        <f>2992.8+4418</f>
        <v>7410.8</v>
      </c>
      <c r="L5" s="4">
        <v>225.38</v>
      </c>
      <c r="M5" s="4">
        <v>57546.73</v>
      </c>
      <c r="N5" s="4"/>
      <c r="O5" s="4">
        <v>3889.6</v>
      </c>
      <c r="P5" s="4"/>
      <c r="Q5" s="4">
        <f>4998</f>
        <v>4998</v>
      </c>
      <c r="R5" s="4">
        <v>40540.06</v>
      </c>
      <c r="S5" s="4"/>
      <c r="T5" s="4">
        <v>3978.2</v>
      </c>
      <c r="U5" s="4">
        <v>66537.34</v>
      </c>
      <c r="V5" s="4"/>
      <c r="W5" s="4"/>
      <c r="X5" s="4">
        <v>-66537.34</v>
      </c>
      <c r="Y5" s="4">
        <f t="shared" si="0"/>
        <v>518335.95000000007</v>
      </c>
    </row>
    <row r="6" spans="1:27" ht="15.15" customHeight="1" x14ac:dyDescent="0.25">
      <c r="A6" s="15" t="s">
        <v>4</v>
      </c>
      <c r="B6" s="4"/>
      <c r="C6" s="4">
        <f>335044.54-164612</f>
        <v>170432.53999999998</v>
      </c>
      <c r="D6" s="4">
        <f>4991.48+1559+5058+1819</f>
        <v>13427.48</v>
      </c>
      <c r="E6" s="4">
        <f>54644.72-26044</f>
        <v>28600.720000000001</v>
      </c>
      <c r="F6" s="4">
        <f>922.06+29</f>
        <v>951.06</v>
      </c>
      <c r="G6" s="4">
        <f>56973.72-26952</f>
        <v>30021.72</v>
      </c>
      <c r="H6" s="4">
        <v>76250.91</v>
      </c>
      <c r="I6" s="4">
        <v>5206.54</v>
      </c>
      <c r="J6" s="4">
        <v>172595.66</v>
      </c>
      <c r="K6" s="4">
        <v>4418.3999999999996</v>
      </c>
      <c r="L6" s="4">
        <v>439.64</v>
      </c>
      <c r="M6" s="4">
        <v>69472.55</v>
      </c>
      <c r="N6" s="4">
        <v>61060</v>
      </c>
      <c r="O6" s="4">
        <v>3889.6</v>
      </c>
      <c r="P6" s="4"/>
      <c r="Q6" s="4">
        <v>9144.7999999999993</v>
      </c>
      <c r="R6" s="4">
        <v>40516.839999999997</v>
      </c>
      <c r="S6" s="4">
        <v>3453</v>
      </c>
      <c r="T6" s="4">
        <v>9923.2000000000007</v>
      </c>
      <c r="U6" s="4">
        <v>112203.77</v>
      </c>
      <c r="V6" s="4"/>
      <c r="W6" s="4"/>
      <c r="X6" s="4">
        <v>-112203.77</v>
      </c>
      <c r="Y6" s="4">
        <f t="shared" si="0"/>
        <v>699804.66</v>
      </c>
    </row>
    <row r="7" spans="1:27" ht="15.15" customHeight="1" x14ac:dyDescent="0.25">
      <c r="A7" s="15" t="s">
        <v>5</v>
      </c>
      <c r="B7" s="4"/>
      <c r="C7" s="4">
        <v>164612</v>
      </c>
      <c r="D7" s="4"/>
      <c r="E7" s="4">
        <v>26044</v>
      </c>
      <c r="F7" s="4"/>
      <c r="G7" s="4">
        <v>26952</v>
      </c>
      <c r="H7" s="4">
        <v>61843.6</v>
      </c>
      <c r="I7" s="4">
        <v>1498.17</v>
      </c>
      <c r="J7" s="4">
        <v>172296.37</v>
      </c>
      <c r="K7" s="4">
        <v>4418.3999999999996</v>
      </c>
      <c r="L7" s="4"/>
      <c r="M7" s="4">
        <v>80779.520000000004</v>
      </c>
      <c r="N7" s="4">
        <f>3650+539</f>
        <v>4189</v>
      </c>
      <c r="O7" s="4">
        <v>3889.6</v>
      </c>
      <c r="P7" s="4"/>
      <c r="Q7" s="4">
        <f>251756.4+2469</f>
        <v>254225.4</v>
      </c>
      <c r="R7" s="4">
        <v>24000</v>
      </c>
      <c r="S7" s="4">
        <v>5626.6</v>
      </c>
      <c r="T7" s="4">
        <v>6851.14</v>
      </c>
      <c r="U7" s="4">
        <v>153650.16</v>
      </c>
      <c r="V7" s="4"/>
      <c r="W7" s="4"/>
      <c r="X7" s="4">
        <v>-153650.16</v>
      </c>
      <c r="Y7" s="4">
        <f t="shared" si="0"/>
        <v>837225.79999999993</v>
      </c>
    </row>
    <row r="8" spans="1:27" ht="15.15" customHeight="1" x14ac:dyDescent="0.25">
      <c r="A8" s="16" t="s">
        <v>80</v>
      </c>
      <c r="B8" s="4"/>
      <c r="C8" s="4">
        <v>79528.649999999994</v>
      </c>
      <c r="D8" s="4">
        <f>19211.34+3958+1637</f>
        <v>24806.34</v>
      </c>
      <c r="E8" s="4">
        <v>16136.67</v>
      </c>
      <c r="F8" s="4">
        <f>233.02+7</f>
        <v>240.02</v>
      </c>
      <c r="G8" s="4">
        <v>17177.2</v>
      </c>
      <c r="H8" s="4">
        <v>10961.68</v>
      </c>
      <c r="I8" s="4"/>
      <c r="J8" s="4">
        <v>66714.61</v>
      </c>
      <c r="K8" s="4">
        <v>2992.8</v>
      </c>
      <c r="L8" s="4">
        <v>112.68</v>
      </c>
      <c r="M8" s="4">
        <v>29413.67</v>
      </c>
      <c r="N8" s="4"/>
      <c r="O8" s="4">
        <v>3889.6</v>
      </c>
      <c r="P8" s="4"/>
      <c r="Q8" s="4">
        <f>3204</f>
        <v>3204</v>
      </c>
      <c r="R8" s="4">
        <v>47767.99</v>
      </c>
      <c r="S8" s="4"/>
      <c r="T8" s="4">
        <v>3978.2</v>
      </c>
      <c r="U8" s="4">
        <v>41549.550000000003</v>
      </c>
      <c r="V8" s="4"/>
      <c r="W8" s="4"/>
      <c r="X8" s="4">
        <v>-41549.550000000003</v>
      </c>
      <c r="Y8" s="4">
        <f t="shared" si="0"/>
        <v>306924.11</v>
      </c>
    </row>
    <row r="9" spans="1:27" ht="15.15" customHeight="1" x14ac:dyDescent="0.25">
      <c r="A9" s="15" t="s">
        <v>6</v>
      </c>
      <c r="B9" s="4"/>
      <c r="C9" s="4">
        <v>145107.14000000001</v>
      </c>
      <c r="D9" s="4">
        <f>34299.27+1769+1720</f>
        <v>37788.269999999997</v>
      </c>
      <c r="E9" s="4">
        <v>26880.54</v>
      </c>
      <c r="F9" s="4">
        <f>301.76+9</f>
        <v>310.76</v>
      </c>
      <c r="G9" s="4">
        <v>29622.28</v>
      </c>
      <c r="H9" s="4">
        <v>46306.61</v>
      </c>
      <c r="I9" s="4">
        <v>1174.05</v>
      </c>
      <c r="J9" s="4">
        <v>146726.54999999999</v>
      </c>
      <c r="K9" s="4">
        <v>5130.3999999999996</v>
      </c>
      <c r="L9" s="4">
        <v>145.07</v>
      </c>
      <c r="M9" s="4">
        <v>56585.5</v>
      </c>
      <c r="N9" s="4"/>
      <c r="O9" s="4">
        <v>3889.6</v>
      </c>
      <c r="P9" s="4"/>
      <c r="Q9" s="4">
        <v>94335.28</v>
      </c>
      <c r="R9" s="4">
        <v>43716.84</v>
      </c>
      <c r="S9" s="4"/>
      <c r="T9" s="4">
        <v>3978.2</v>
      </c>
      <c r="U9" s="4">
        <v>98847.07</v>
      </c>
      <c r="V9" s="4"/>
      <c r="W9" s="4"/>
      <c r="X9" s="4">
        <v>-98847.07</v>
      </c>
      <c r="Y9" s="4">
        <f t="shared" si="0"/>
        <v>641697.08999999985</v>
      </c>
    </row>
    <row r="10" spans="1:27" ht="15.15" customHeight="1" x14ac:dyDescent="0.25">
      <c r="A10" s="15" t="s">
        <v>7</v>
      </c>
      <c r="B10" s="4"/>
      <c r="C10" s="4">
        <v>228789.06</v>
      </c>
      <c r="D10" s="4">
        <f>1723+1203</f>
        <v>2926</v>
      </c>
      <c r="E10" s="4">
        <v>36591.449999999997</v>
      </c>
      <c r="F10" s="4">
        <f>663.96+21</f>
        <v>684.96</v>
      </c>
      <c r="G10" s="4">
        <v>37927.75</v>
      </c>
      <c r="H10" s="4">
        <v>101972</v>
      </c>
      <c r="I10" s="4">
        <v>11305.08</v>
      </c>
      <c r="J10" s="4">
        <v>147825.74</v>
      </c>
      <c r="K10" s="4">
        <v>4418.3999999999996</v>
      </c>
      <c r="L10" s="4">
        <v>316.5</v>
      </c>
      <c r="M10" s="4">
        <v>76985.87</v>
      </c>
      <c r="N10" s="4"/>
      <c r="O10" s="4">
        <v>3889.6</v>
      </c>
      <c r="P10" s="4"/>
      <c r="Q10" s="4"/>
      <c r="R10" s="4">
        <v>37190.83</v>
      </c>
      <c r="S10" s="4"/>
      <c r="T10" s="4">
        <v>9178.2000000000007</v>
      </c>
      <c r="U10" s="4">
        <v>96091.13</v>
      </c>
      <c r="V10" s="4"/>
      <c r="W10" s="4"/>
      <c r="X10" s="4">
        <v>-96091.13</v>
      </c>
      <c r="Y10" s="4">
        <f t="shared" si="0"/>
        <v>700001.44</v>
      </c>
    </row>
    <row r="11" spans="1:27" ht="15.15" customHeight="1" x14ac:dyDescent="0.25">
      <c r="A11" s="15" t="s">
        <v>8</v>
      </c>
      <c r="B11" s="4"/>
      <c r="C11" s="4">
        <f>10207.68+30000</f>
        <v>40207.68</v>
      </c>
      <c r="D11" s="4">
        <f>40721.36+477.61+4736+9445</f>
        <v>55379.97</v>
      </c>
      <c r="E11" s="4">
        <f>9012.57+4735</f>
        <v>13747.57</v>
      </c>
      <c r="F11" s="4"/>
      <c r="G11" s="4">
        <f>10518.61+4735</f>
        <v>15253.61</v>
      </c>
      <c r="H11" s="4">
        <v>43373.1</v>
      </c>
      <c r="I11" s="4">
        <v>2747.25</v>
      </c>
      <c r="J11" s="4">
        <v>69967.509999999995</v>
      </c>
      <c r="K11" s="4">
        <v>2992.8</v>
      </c>
      <c r="L11" s="4"/>
      <c r="M11" s="4">
        <v>45779.97</v>
      </c>
      <c r="N11" s="4"/>
      <c r="O11" s="4">
        <v>3889.6</v>
      </c>
      <c r="P11" s="4"/>
      <c r="Q11" s="4"/>
      <c r="R11" s="4">
        <v>41064.81</v>
      </c>
      <c r="S11" s="4">
        <v>4316</v>
      </c>
      <c r="T11" s="4">
        <v>847.2</v>
      </c>
      <c r="U11" s="4">
        <v>52890.8</v>
      </c>
      <c r="V11" s="4">
        <v>-5986</v>
      </c>
      <c r="W11" s="4"/>
      <c r="X11" s="4">
        <v>-52890.8</v>
      </c>
      <c r="Y11" s="4">
        <f t="shared" si="0"/>
        <v>333581.06999999995</v>
      </c>
    </row>
    <row r="12" spans="1:27" ht="15.15" customHeight="1" x14ac:dyDescent="0.25">
      <c r="A12" s="15" t="s">
        <v>9</v>
      </c>
      <c r="B12" s="4"/>
      <c r="C12" s="4">
        <v>294930.01</v>
      </c>
      <c r="D12" s="4">
        <f>7595+4355+2197</f>
        <v>14147</v>
      </c>
      <c r="E12" s="4">
        <v>48396.52</v>
      </c>
      <c r="F12" s="4">
        <f>598.28+20</f>
        <v>618.28</v>
      </c>
      <c r="G12" s="4">
        <v>50490.93</v>
      </c>
      <c r="H12" s="4">
        <v>85762.54</v>
      </c>
      <c r="I12" s="4">
        <v>1257.52</v>
      </c>
      <c r="J12" s="4">
        <v>157065.69</v>
      </c>
      <c r="K12" s="4">
        <v>4418.3999999999996</v>
      </c>
      <c r="L12" s="4">
        <v>281.81</v>
      </c>
      <c r="M12" s="4">
        <v>95209.4</v>
      </c>
      <c r="N12" s="4">
        <f>135</f>
        <v>135</v>
      </c>
      <c r="O12" s="4">
        <v>3889.6</v>
      </c>
      <c r="P12" s="4"/>
      <c r="Q12" s="4">
        <f>44682.7224612</f>
        <v>44682.722461199999</v>
      </c>
      <c r="R12" s="4">
        <v>40390.83</v>
      </c>
      <c r="S12" s="4"/>
      <c r="T12" s="4">
        <v>9027.2000000000007</v>
      </c>
      <c r="U12" s="4">
        <v>114769.92</v>
      </c>
      <c r="V12" s="4"/>
      <c r="W12" s="4"/>
      <c r="X12" s="4">
        <v>-114769.92</v>
      </c>
      <c r="Y12" s="4">
        <f t="shared" si="0"/>
        <v>850703.45246119995</v>
      </c>
    </row>
    <row r="13" spans="1:27" ht="15.15" customHeight="1" x14ac:dyDescent="0.25">
      <c r="A13" s="15" t="s">
        <v>10</v>
      </c>
      <c r="B13" s="4"/>
      <c r="C13" s="4">
        <f>140711.88-73646.44+110000</f>
        <v>177065.44</v>
      </c>
      <c r="D13" s="4">
        <f>47232.82+1723.08+7306+5374+8281</f>
        <v>69916.899999999994</v>
      </c>
      <c r="E13" s="4">
        <f>46128.5+17600</f>
        <v>63728.5</v>
      </c>
      <c r="F13" s="4">
        <f>556.46+17</f>
        <v>573.46</v>
      </c>
      <c r="G13" s="4">
        <f>25899.41+17992</f>
        <v>43891.41</v>
      </c>
      <c r="H13" s="4">
        <v>63456.95</v>
      </c>
      <c r="I13" s="4">
        <v>3153.43</v>
      </c>
      <c r="J13" s="4">
        <v>191701.99</v>
      </c>
      <c r="K13" s="4">
        <v>4418.3999999999996</v>
      </c>
      <c r="L13" s="4">
        <v>268.02</v>
      </c>
      <c r="M13" s="4">
        <v>70652.27</v>
      </c>
      <c r="N13" s="4"/>
      <c r="O13" s="4">
        <v>3889.6</v>
      </c>
      <c r="P13" s="4"/>
      <c r="Q13" s="4">
        <f>886+11407</f>
        <v>12293</v>
      </c>
      <c r="R13" s="4">
        <v>55716.84</v>
      </c>
      <c r="S13" s="4">
        <v>2583</v>
      </c>
      <c r="T13" s="4">
        <v>7071.14</v>
      </c>
      <c r="U13" s="4">
        <v>102593.48</v>
      </c>
      <c r="V13" s="4"/>
      <c r="W13" s="4"/>
      <c r="X13" s="4">
        <v>-102593.48</v>
      </c>
      <c r="Y13" s="4">
        <f t="shared" si="0"/>
        <v>770380.35</v>
      </c>
    </row>
    <row r="14" spans="1:27" ht="15.15" customHeight="1" x14ac:dyDescent="0.25">
      <c r="A14" s="15" t="s">
        <v>11</v>
      </c>
      <c r="B14" s="4"/>
      <c r="C14" s="4">
        <v>518224.69</v>
      </c>
      <c r="D14" s="4">
        <f>5306.77+27139+5283+1239</f>
        <v>38967.770000000004</v>
      </c>
      <c r="E14" s="4">
        <v>87297.96</v>
      </c>
      <c r="F14" s="4">
        <f>1270.82+40</f>
        <v>1310.82</v>
      </c>
      <c r="G14" s="4">
        <v>91057.98</v>
      </c>
      <c r="H14" s="4">
        <v>533315.76</v>
      </c>
      <c r="I14" s="4">
        <v>32950.6</v>
      </c>
      <c r="J14" s="4">
        <f>101666.85+77015</f>
        <v>178681.85</v>
      </c>
      <c r="K14" s="4">
        <v>10834.4</v>
      </c>
      <c r="L14" s="4">
        <v>605.86</v>
      </c>
      <c r="M14" s="4">
        <v>58701.96</v>
      </c>
      <c r="N14" s="4">
        <f>3650+869</f>
        <v>4519</v>
      </c>
      <c r="O14" s="4">
        <v>9305.2000000000007</v>
      </c>
      <c r="P14" s="4"/>
      <c r="Q14" s="4">
        <f>662+1464+8000</f>
        <v>10126</v>
      </c>
      <c r="R14" s="4">
        <v>51716.84</v>
      </c>
      <c r="S14" s="4">
        <v>3428</v>
      </c>
      <c r="T14" s="4">
        <v>5293.7</v>
      </c>
      <c r="U14" s="4">
        <v>205149.1</v>
      </c>
      <c r="V14" s="4"/>
      <c r="W14" s="4"/>
      <c r="X14" s="4">
        <v>-205149.1</v>
      </c>
      <c r="Y14" s="4">
        <f t="shared" si="0"/>
        <v>1636338.3900000001</v>
      </c>
      <c r="Z14">
        <v>29813</v>
      </c>
      <c r="AA14" s="7">
        <f>SUM(Y14:Z14)</f>
        <v>1666151.3900000001</v>
      </c>
    </row>
    <row r="15" spans="1:27" ht="15.15" customHeight="1" x14ac:dyDescent="0.25">
      <c r="A15" s="2" t="s">
        <v>12</v>
      </c>
      <c r="B15" s="4">
        <f>SUM(B3:B14)</f>
        <v>717997.84</v>
      </c>
      <c r="C15" s="4">
        <f t="shared" ref="C15:D15" si="1">SUM(C3:C14)</f>
        <v>2239966.9500000002</v>
      </c>
      <c r="D15" s="4">
        <f t="shared" si="1"/>
        <v>300870.24195499998</v>
      </c>
      <c r="E15" s="4">
        <f>SUM(E3:E14)</f>
        <v>527702.01</v>
      </c>
      <c r="F15" s="4">
        <f>SUM(F3:F14)</f>
        <v>7518.44</v>
      </c>
      <c r="G15" s="4">
        <f>SUM(G3:G14)</f>
        <v>492975.73</v>
      </c>
      <c r="H15" s="4">
        <f t="shared" ref="H15:X15" si="2">SUM(H3:H14)</f>
        <v>1298660.6800000002</v>
      </c>
      <c r="I15" s="4">
        <f t="shared" si="2"/>
        <v>92494.61</v>
      </c>
      <c r="J15" s="4">
        <f t="shared" si="2"/>
        <v>1476574.57</v>
      </c>
      <c r="K15" s="4">
        <f t="shared" si="2"/>
        <v>85762.2</v>
      </c>
      <c r="L15" s="4">
        <f t="shared" si="2"/>
        <v>3476.88</v>
      </c>
      <c r="M15" s="4">
        <f t="shared" si="2"/>
        <v>681403.44000000006</v>
      </c>
      <c r="N15" s="4">
        <f t="shared" si="2"/>
        <v>74523.38</v>
      </c>
      <c r="O15" s="4">
        <f t="shared" si="2"/>
        <v>48459.599999999991</v>
      </c>
      <c r="P15" s="4">
        <f t="shared" si="2"/>
        <v>192903.27</v>
      </c>
      <c r="Q15" s="4">
        <f t="shared" si="2"/>
        <v>456732.0024612</v>
      </c>
      <c r="R15" s="4">
        <f t="shared" si="2"/>
        <v>439818.88</v>
      </c>
      <c r="S15" s="4">
        <f t="shared" si="2"/>
        <v>19543.8</v>
      </c>
      <c r="T15" s="4">
        <f t="shared" si="2"/>
        <v>85721.179999999978</v>
      </c>
      <c r="U15" s="4">
        <f t="shared" si="2"/>
        <v>1159397.2200000002</v>
      </c>
      <c r="V15" s="4">
        <f t="shared" si="2"/>
        <v>-5986</v>
      </c>
      <c r="W15" s="4">
        <f t="shared" si="2"/>
        <v>-326927.05</v>
      </c>
      <c r="X15" s="4">
        <f t="shared" si="2"/>
        <v>-1159397.2200000002</v>
      </c>
      <c r="Y15" s="4">
        <f>SUM(Y3:Y14)</f>
        <v>8910192.6544161998</v>
      </c>
      <c r="Z15" s="50">
        <f>SUM(Z3:Z14)</f>
        <v>29813</v>
      </c>
    </row>
    <row r="16" spans="1:27" x14ac:dyDescent="0.25">
      <c r="Y16" s="7"/>
    </row>
    <row r="17" spans="1:23" x14ac:dyDescent="0.25">
      <c r="F17" s="7"/>
    </row>
    <row r="18" spans="1:23" x14ac:dyDescent="0.25">
      <c r="A18" s="34" t="s">
        <v>134</v>
      </c>
    </row>
    <row r="19" spans="1:23" x14ac:dyDescent="0.25">
      <c r="A19" t="s">
        <v>135</v>
      </c>
    </row>
    <row r="21" spans="1:23" x14ac:dyDescent="0.25">
      <c r="A21" s="36" t="s">
        <v>132</v>
      </c>
    </row>
    <row r="22" spans="1:23" x14ac:dyDescent="0.25">
      <c r="A22" t="s">
        <v>133</v>
      </c>
    </row>
    <row r="23" spans="1:23" x14ac:dyDescent="0.25">
      <c r="S23" s="6" t="s">
        <v>149</v>
      </c>
      <c r="U23" s="7">
        <f>AA14</f>
        <v>1666151.3900000001</v>
      </c>
      <c r="V23">
        <v>9</v>
      </c>
      <c r="W23" s="7">
        <f>U23/V23</f>
        <v>185127.93222222224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3F020-86CA-4013-A735-6E8E27C4F484}">
  <dimension ref="A1:P91"/>
  <sheetViews>
    <sheetView topLeftCell="A43" workbookViewId="0">
      <selection activeCell="B92" sqref="B92"/>
    </sheetView>
  </sheetViews>
  <sheetFormatPr baseColWidth="10" defaultColWidth="11.5546875" defaultRowHeight="13.2" x14ac:dyDescent="0.25"/>
  <cols>
    <col min="1" max="1" width="11.5546875" style="22"/>
    <col min="2" max="2" width="36.33203125" style="20" bestFit="1" customWidth="1"/>
    <col min="3" max="3" width="11.5546875" style="23"/>
    <col min="4" max="4" width="25" style="20" customWidth="1"/>
    <col min="5" max="5" width="12.33203125" style="23" bestFit="1" customWidth="1"/>
    <col min="6" max="6" width="11.5546875" style="20"/>
    <col min="7" max="7" width="11.5546875" style="23"/>
    <col min="8" max="8" width="33.6640625" style="20" bestFit="1" customWidth="1"/>
    <col min="9" max="9" width="11.5546875" style="23"/>
    <col min="10" max="10" width="34.33203125" style="20" customWidth="1"/>
    <col min="11" max="11" width="13.5546875" style="24" customWidth="1"/>
    <col min="12" max="14" width="11.5546875" style="20"/>
    <col min="15" max="15" width="13.5546875" style="24" customWidth="1"/>
    <col min="16" max="16384" width="11.5546875" style="20"/>
  </cols>
  <sheetData>
    <row r="1" spans="1:11" x14ac:dyDescent="0.25">
      <c r="D1" s="43" t="s">
        <v>141</v>
      </c>
      <c r="E1" s="41"/>
      <c r="F1" s="40"/>
      <c r="G1" s="41"/>
      <c r="H1" s="42">
        <v>622416</v>
      </c>
    </row>
    <row r="2" spans="1:11" x14ac:dyDescent="0.25">
      <c r="D2" s="20" t="s">
        <v>110</v>
      </c>
    </row>
    <row r="3" spans="1:11" x14ac:dyDescent="0.25">
      <c r="D3" s="20" t="s">
        <v>111</v>
      </c>
    </row>
    <row r="4" spans="1:11" x14ac:dyDescent="0.25">
      <c r="D4" s="20" t="s">
        <v>112</v>
      </c>
    </row>
    <row r="7" spans="1:11" x14ac:dyDescent="0.25">
      <c r="A7" s="22" t="s">
        <v>13</v>
      </c>
      <c r="B7" s="20" t="s">
        <v>24</v>
      </c>
      <c r="C7" s="23" t="s">
        <v>25</v>
      </c>
      <c r="D7" s="20" t="s">
        <v>26</v>
      </c>
      <c r="E7" s="23" t="s">
        <v>27</v>
      </c>
      <c r="F7" s="20" t="s">
        <v>28</v>
      </c>
      <c r="G7" s="23" t="s">
        <v>1</v>
      </c>
      <c r="H7" s="20" t="s">
        <v>29</v>
      </c>
      <c r="I7" s="23" t="s">
        <v>69</v>
      </c>
      <c r="J7" s="20" t="s">
        <v>70</v>
      </c>
      <c r="K7" s="24" t="s">
        <v>0</v>
      </c>
    </row>
    <row r="8" spans="1:11" x14ac:dyDescent="0.25">
      <c r="A8" s="22" t="s">
        <v>104</v>
      </c>
      <c r="B8" s="20" t="s">
        <v>95</v>
      </c>
      <c r="C8" s="23">
        <v>2208</v>
      </c>
      <c r="D8" s="20" t="s">
        <v>31</v>
      </c>
      <c r="E8" s="23">
        <v>20100</v>
      </c>
      <c r="F8" s="20" t="s">
        <v>67</v>
      </c>
      <c r="I8" s="23">
        <v>2733</v>
      </c>
      <c r="J8" s="20" t="s">
        <v>96</v>
      </c>
      <c r="K8" s="24">
        <v>-0.01</v>
      </c>
    </row>
    <row r="9" spans="1:11" x14ac:dyDescent="0.25">
      <c r="A9" s="22" t="s">
        <v>105</v>
      </c>
      <c r="B9" s="5" t="s">
        <v>71</v>
      </c>
      <c r="C9" s="23">
        <v>2205</v>
      </c>
      <c r="D9" s="21" t="s">
        <v>97</v>
      </c>
      <c r="E9" s="23">
        <v>20100</v>
      </c>
      <c r="F9" s="5" t="s">
        <v>67</v>
      </c>
      <c r="I9" s="23">
        <v>2733</v>
      </c>
      <c r="J9" s="20" t="s">
        <v>96</v>
      </c>
      <c r="K9" s="24">
        <v>-0.01</v>
      </c>
    </row>
    <row r="10" spans="1:11" x14ac:dyDescent="0.25">
      <c r="A10" s="22" t="s">
        <v>106</v>
      </c>
      <c r="B10" s="20" t="s">
        <v>75</v>
      </c>
      <c r="C10" s="23">
        <v>2208</v>
      </c>
      <c r="D10" s="20" t="s">
        <v>31</v>
      </c>
      <c r="E10" s="23">
        <v>20100</v>
      </c>
      <c r="F10" s="20" t="s">
        <v>67</v>
      </c>
      <c r="I10" s="23">
        <v>2733</v>
      </c>
      <c r="J10" s="20" t="s">
        <v>96</v>
      </c>
      <c r="K10" s="24">
        <v>-718.67</v>
      </c>
    </row>
    <row r="11" spans="1:11" x14ac:dyDescent="0.25">
      <c r="K11" s="24">
        <v>-718.69</v>
      </c>
    </row>
    <row r="12" spans="1:11" x14ac:dyDescent="0.25">
      <c r="A12" s="22" t="s">
        <v>106</v>
      </c>
      <c r="B12" s="20" t="s">
        <v>75</v>
      </c>
      <c r="C12" s="23">
        <v>2208</v>
      </c>
      <c r="D12" s="20" t="s">
        <v>31</v>
      </c>
      <c r="E12" s="23">
        <v>20100</v>
      </c>
      <c r="F12" s="20" t="s">
        <v>67</v>
      </c>
      <c r="G12" s="23">
        <v>0</v>
      </c>
      <c r="I12" s="23">
        <v>2733</v>
      </c>
      <c r="J12" s="20" t="s">
        <v>96</v>
      </c>
      <c r="K12" s="24">
        <v>718.67</v>
      </c>
    </row>
    <row r="13" spans="1:11" x14ac:dyDescent="0.25">
      <c r="G13" s="23">
        <v>0</v>
      </c>
      <c r="K13" s="24">
        <v>718.67</v>
      </c>
    </row>
    <row r="14" spans="1:11" x14ac:dyDescent="0.25">
      <c r="A14" s="22" t="s">
        <v>106</v>
      </c>
      <c r="B14" s="20" t="s">
        <v>75</v>
      </c>
      <c r="C14" s="23">
        <v>2204</v>
      </c>
      <c r="D14" s="20" t="s">
        <v>30</v>
      </c>
      <c r="E14" s="23">
        <v>20100</v>
      </c>
      <c r="F14" s="20" t="s">
        <v>67</v>
      </c>
      <c r="G14" s="23">
        <v>2301005</v>
      </c>
      <c r="H14" s="20" t="s">
        <v>98</v>
      </c>
      <c r="I14" s="23">
        <v>2733</v>
      </c>
      <c r="J14" s="20" t="s">
        <v>96</v>
      </c>
      <c r="K14" s="24">
        <v>2685.4</v>
      </c>
    </row>
    <row r="15" spans="1:11" x14ac:dyDescent="0.25">
      <c r="A15" s="22" t="s">
        <v>105</v>
      </c>
      <c r="B15" s="20" t="s">
        <v>71</v>
      </c>
      <c r="C15" s="23">
        <v>2204</v>
      </c>
      <c r="D15" s="20" t="s">
        <v>30</v>
      </c>
      <c r="E15" s="23">
        <v>20100</v>
      </c>
      <c r="F15" s="20" t="s">
        <v>67</v>
      </c>
      <c r="G15" s="23">
        <v>2301005</v>
      </c>
      <c r="H15" s="20" t="s">
        <v>98</v>
      </c>
      <c r="I15" s="23">
        <v>2733</v>
      </c>
      <c r="J15" s="20" t="s">
        <v>96</v>
      </c>
      <c r="K15" s="24">
        <v>23976.77</v>
      </c>
    </row>
    <row r="16" spans="1:11" x14ac:dyDescent="0.25">
      <c r="A16" s="22" t="s">
        <v>104</v>
      </c>
      <c r="B16" s="20" t="s">
        <v>95</v>
      </c>
      <c r="C16" s="23">
        <v>2204</v>
      </c>
      <c r="D16" s="20" t="s">
        <v>30</v>
      </c>
      <c r="E16" s="23">
        <v>20100</v>
      </c>
      <c r="F16" s="20" t="s">
        <v>67</v>
      </c>
      <c r="G16" s="23">
        <v>2301005</v>
      </c>
      <c r="H16" s="20" t="s">
        <v>98</v>
      </c>
      <c r="I16" s="23">
        <v>2733</v>
      </c>
      <c r="J16" s="20" t="s">
        <v>96</v>
      </c>
      <c r="K16" s="24">
        <v>95907.07</v>
      </c>
    </row>
    <row r="17" spans="1:11" x14ac:dyDescent="0.25">
      <c r="G17" s="23">
        <v>2301005</v>
      </c>
      <c r="H17" s="20" t="s">
        <v>98</v>
      </c>
      <c r="K17" s="24">
        <v>122569.24</v>
      </c>
    </row>
    <row r="18" spans="1:11" x14ac:dyDescent="0.25">
      <c r="A18" s="22" t="s">
        <v>104</v>
      </c>
      <c r="B18" s="20" t="s">
        <v>95</v>
      </c>
      <c r="C18" s="23">
        <v>2208</v>
      </c>
      <c r="D18" s="20" t="s">
        <v>31</v>
      </c>
      <c r="E18" s="23">
        <v>20100</v>
      </c>
      <c r="F18" s="20" t="s">
        <v>67</v>
      </c>
      <c r="G18" s="23">
        <v>2302005</v>
      </c>
      <c r="H18" s="20" t="s">
        <v>99</v>
      </c>
      <c r="I18" s="23">
        <v>2733</v>
      </c>
      <c r="J18" s="20" t="s">
        <v>96</v>
      </c>
      <c r="K18" s="24">
        <v>128334.46</v>
      </c>
    </row>
    <row r="19" spans="1:11" x14ac:dyDescent="0.25">
      <c r="A19" s="22" t="s">
        <v>107</v>
      </c>
      <c r="B19" s="20" t="s">
        <v>100</v>
      </c>
      <c r="C19" s="23">
        <v>2208</v>
      </c>
      <c r="D19" s="20" t="s">
        <v>31</v>
      </c>
      <c r="E19" s="23">
        <v>20100</v>
      </c>
      <c r="F19" s="20" t="s">
        <v>67</v>
      </c>
      <c r="G19" s="23">
        <v>2302005</v>
      </c>
      <c r="H19" s="20" t="s">
        <v>99</v>
      </c>
      <c r="I19" s="23">
        <v>2733</v>
      </c>
      <c r="J19" s="20" t="s">
        <v>96</v>
      </c>
      <c r="K19" s="24">
        <v>3848.8</v>
      </c>
    </row>
    <row r="20" spans="1:11" x14ac:dyDescent="0.25">
      <c r="A20" s="22" t="s">
        <v>105</v>
      </c>
      <c r="B20" s="20" t="s">
        <v>71</v>
      </c>
      <c r="C20" s="23">
        <v>2208</v>
      </c>
      <c r="D20" s="20" t="s">
        <v>31</v>
      </c>
      <c r="E20" s="23">
        <v>20100</v>
      </c>
      <c r="F20" s="20" t="s">
        <v>67</v>
      </c>
      <c r="G20" s="23">
        <v>2302005</v>
      </c>
      <c r="H20" s="20" t="s">
        <v>99</v>
      </c>
      <c r="I20" s="23">
        <v>2733</v>
      </c>
      <c r="J20" s="20" t="s">
        <v>96</v>
      </c>
      <c r="K20" s="24">
        <v>33045.81</v>
      </c>
    </row>
    <row r="21" spans="1:11" x14ac:dyDescent="0.25">
      <c r="A21" s="22" t="s">
        <v>106</v>
      </c>
      <c r="B21" s="20" t="s">
        <v>75</v>
      </c>
      <c r="C21" s="23">
        <v>2208</v>
      </c>
      <c r="D21" s="20" t="s">
        <v>31</v>
      </c>
      <c r="E21" s="23">
        <v>20100</v>
      </c>
      <c r="F21" s="20" t="s">
        <v>67</v>
      </c>
      <c r="G21" s="23">
        <v>2302005</v>
      </c>
      <c r="H21" s="20" t="s">
        <v>99</v>
      </c>
      <c r="I21" s="23">
        <v>2733</v>
      </c>
      <c r="J21" s="20" t="s">
        <v>96</v>
      </c>
      <c r="K21" s="24">
        <v>2982.46</v>
      </c>
    </row>
    <row r="22" spans="1:11" x14ac:dyDescent="0.25">
      <c r="G22" s="23">
        <v>2302005</v>
      </c>
      <c r="H22" s="20" t="s">
        <v>99</v>
      </c>
      <c r="K22" s="24">
        <v>168211.53</v>
      </c>
    </row>
    <row r="23" spans="1:11" x14ac:dyDescent="0.25">
      <c r="A23" s="25" t="s">
        <v>105</v>
      </c>
      <c r="B23" s="26" t="s">
        <v>71</v>
      </c>
      <c r="C23" s="27">
        <v>2225</v>
      </c>
      <c r="D23" s="26" t="s">
        <v>32</v>
      </c>
      <c r="E23" s="27">
        <v>20100</v>
      </c>
      <c r="F23" s="26" t="s">
        <v>67</v>
      </c>
      <c r="G23" s="27">
        <v>2304005</v>
      </c>
      <c r="H23" s="26" t="s">
        <v>101</v>
      </c>
      <c r="I23" s="27">
        <v>2733</v>
      </c>
      <c r="J23" s="26" t="s">
        <v>96</v>
      </c>
      <c r="K23" s="28">
        <v>41399.599999999999</v>
      </c>
    </row>
    <row r="24" spans="1:11" x14ac:dyDescent="0.25">
      <c r="A24" s="25" t="s">
        <v>106</v>
      </c>
      <c r="B24" s="26" t="s">
        <v>75</v>
      </c>
      <c r="C24" s="27">
        <v>2225</v>
      </c>
      <c r="D24" s="26" t="s">
        <v>32</v>
      </c>
      <c r="E24" s="27">
        <v>20100</v>
      </c>
      <c r="F24" s="26" t="s">
        <v>67</v>
      </c>
      <c r="G24" s="27">
        <v>2304005</v>
      </c>
      <c r="H24" s="26" t="s">
        <v>101</v>
      </c>
      <c r="I24" s="27">
        <v>2733</v>
      </c>
      <c r="J24" s="26" t="s">
        <v>96</v>
      </c>
      <c r="K24" s="28">
        <v>4636.76</v>
      </c>
    </row>
    <row r="25" spans="1:11" x14ac:dyDescent="0.25">
      <c r="A25" s="25" t="s">
        <v>104</v>
      </c>
      <c r="B25" s="26" t="s">
        <v>95</v>
      </c>
      <c r="C25" s="27">
        <v>2225</v>
      </c>
      <c r="D25" s="26" t="s">
        <v>32</v>
      </c>
      <c r="E25" s="27">
        <v>20100</v>
      </c>
      <c r="F25" s="26" t="s">
        <v>67</v>
      </c>
      <c r="G25" s="27">
        <v>2304005</v>
      </c>
      <c r="H25" s="26" t="s">
        <v>101</v>
      </c>
      <c r="I25" s="27">
        <v>2733</v>
      </c>
      <c r="J25" s="26" t="s">
        <v>96</v>
      </c>
      <c r="K25" s="28">
        <v>165598.39999999999</v>
      </c>
    </row>
    <row r="26" spans="1:11" x14ac:dyDescent="0.25">
      <c r="A26" s="25"/>
      <c r="B26" s="26"/>
      <c r="C26" s="27"/>
      <c r="D26" s="26"/>
      <c r="E26" s="27"/>
      <c r="F26" s="26"/>
      <c r="G26" s="27">
        <v>2304005</v>
      </c>
      <c r="H26" s="26" t="s">
        <v>101</v>
      </c>
      <c r="I26" s="27"/>
      <c r="J26" s="26"/>
      <c r="K26" s="28">
        <v>211634.76</v>
      </c>
    </row>
    <row r="27" spans="1:11" x14ac:dyDescent="0.25">
      <c r="A27" s="22" t="s">
        <v>104</v>
      </c>
      <c r="B27" s="20" t="s">
        <v>95</v>
      </c>
      <c r="C27" s="23">
        <v>2216</v>
      </c>
      <c r="D27" s="20" t="s">
        <v>33</v>
      </c>
      <c r="E27" s="23">
        <v>20100</v>
      </c>
      <c r="F27" s="20" t="s">
        <v>67</v>
      </c>
      <c r="G27" s="23">
        <v>2312005</v>
      </c>
      <c r="H27" s="20" t="s">
        <v>33</v>
      </c>
      <c r="I27" s="23">
        <v>2733</v>
      </c>
      <c r="J27" s="20" t="s">
        <v>96</v>
      </c>
      <c r="K27" s="24">
        <v>40645.550000000003</v>
      </c>
    </row>
    <row r="28" spans="1:11" x14ac:dyDescent="0.25">
      <c r="A28" s="22" t="s">
        <v>108</v>
      </c>
      <c r="B28" s="20" t="s">
        <v>102</v>
      </c>
      <c r="C28" s="23">
        <v>2216</v>
      </c>
      <c r="D28" s="20" t="s">
        <v>33</v>
      </c>
      <c r="E28" s="23">
        <v>20100</v>
      </c>
      <c r="F28" s="20" t="s">
        <v>67</v>
      </c>
      <c r="G28" s="23">
        <v>2312005</v>
      </c>
      <c r="H28" s="20" t="s">
        <v>33</v>
      </c>
      <c r="I28" s="23">
        <v>2733</v>
      </c>
      <c r="J28" s="20" t="s">
        <v>96</v>
      </c>
      <c r="K28" s="24">
        <v>19703.400000000001</v>
      </c>
    </row>
    <row r="29" spans="1:11" x14ac:dyDescent="0.25">
      <c r="A29" s="22" t="s">
        <v>106</v>
      </c>
      <c r="B29" s="20" t="s">
        <v>75</v>
      </c>
      <c r="C29" s="23">
        <v>2216</v>
      </c>
      <c r="D29" s="20" t="s">
        <v>33</v>
      </c>
      <c r="E29" s="23">
        <v>20100</v>
      </c>
      <c r="F29" s="20" t="s">
        <v>67</v>
      </c>
      <c r="G29" s="23">
        <v>2312005</v>
      </c>
      <c r="H29" s="20" t="s">
        <v>33</v>
      </c>
      <c r="I29" s="23">
        <v>2733</v>
      </c>
      <c r="J29" s="20" t="s">
        <v>96</v>
      </c>
      <c r="K29" s="24">
        <v>1689.77</v>
      </c>
    </row>
    <row r="30" spans="1:11" x14ac:dyDescent="0.25">
      <c r="A30" s="22" t="s">
        <v>105</v>
      </c>
      <c r="B30" s="20" t="s">
        <v>71</v>
      </c>
      <c r="C30" s="23">
        <v>2216</v>
      </c>
      <c r="D30" s="20" t="s">
        <v>33</v>
      </c>
      <c r="E30" s="23">
        <v>20100</v>
      </c>
      <c r="F30" s="20" t="s">
        <v>67</v>
      </c>
      <c r="G30" s="23">
        <v>2312005</v>
      </c>
      <c r="H30" s="20" t="s">
        <v>33</v>
      </c>
      <c r="I30" s="23">
        <v>2733</v>
      </c>
      <c r="J30" s="20" t="s">
        <v>96</v>
      </c>
      <c r="K30" s="24">
        <v>15087.24</v>
      </c>
    </row>
    <row r="31" spans="1:11" x14ac:dyDescent="0.25">
      <c r="G31" s="23">
        <v>2312005</v>
      </c>
      <c r="H31" s="20" t="s">
        <v>33</v>
      </c>
      <c r="K31" s="24">
        <v>77125.960000000006</v>
      </c>
    </row>
    <row r="32" spans="1:11" x14ac:dyDescent="0.25">
      <c r="A32" s="22" t="s">
        <v>106</v>
      </c>
      <c r="B32" s="20" t="s">
        <v>75</v>
      </c>
      <c r="C32" s="23">
        <v>2205</v>
      </c>
      <c r="D32" s="20" t="s">
        <v>97</v>
      </c>
      <c r="E32" s="23">
        <v>20100</v>
      </c>
      <c r="F32" s="20" t="s">
        <v>67</v>
      </c>
      <c r="G32" s="23">
        <v>2313005</v>
      </c>
      <c r="H32" s="20" t="s">
        <v>97</v>
      </c>
      <c r="I32" s="23">
        <v>2733</v>
      </c>
      <c r="J32" s="20" t="s">
        <v>96</v>
      </c>
      <c r="K32" s="24">
        <v>2168.7600000000002</v>
      </c>
    </row>
    <row r="33" spans="1:11" x14ac:dyDescent="0.25">
      <c r="A33" s="22" t="s">
        <v>105</v>
      </c>
      <c r="B33" s="20" t="s">
        <v>71</v>
      </c>
      <c r="C33" s="23">
        <v>2205</v>
      </c>
      <c r="D33" s="20" t="s">
        <v>97</v>
      </c>
      <c r="E33" s="23">
        <v>20100</v>
      </c>
      <c r="F33" s="20" t="s">
        <v>67</v>
      </c>
      <c r="G33" s="23">
        <v>2313005</v>
      </c>
      <c r="H33" s="20" t="s">
        <v>97</v>
      </c>
      <c r="I33" s="23">
        <v>2733</v>
      </c>
      <c r="J33" s="20" t="s">
        <v>96</v>
      </c>
      <c r="K33" s="24">
        <v>19363.89</v>
      </c>
    </row>
    <row r="34" spans="1:11" x14ac:dyDescent="0.25">
      <c r="A34" s="22" t="s">
        <v>104</v>
      </c>
      <c r="B34" s="20" t="s">
        <v>95</v>
      </c>
      <c r="C34" s="23">
        <v>2205</v>
      </c>
      <c r="D34" s="20" t="s">
        <v>97</v>
      </c>
      <c r="E34" s="23">
        <v>20100</v>
      </c>
      <c r="F34" s="20" t="s">
        <v>67</v>
      </c>
      <c r="G34" s="23">
        <v>2313005</v>
      </c>
      <c r="H34" s="20" t="s">
        <v>97</v>
      </c>
      <c r="I34" s="23">
        <v>2733</v>
      </c>
      <c r="J34" s="20" t="s">
        <v>96</v>
      </c>
      <c r="K34" s="24">
        <v>77455.539999999994</v>
      </c>
    </row>
    <row r="35" spans="1:11" x14ac:dyDescent="0.25">
      <c r="G35" s="23">
        <v>2313005</v>
      </c>
      <c r="H35" s="20" t="s">
        <v>97</v>
      </c>
      <c r="K35" s="24">
        <v>98988.19</v>
      </c>
    </row>
    <row r="36" spans="1:11" x14ac:dyDescent="0.25">
      <c r="A36" s="22" t="s">
        <v>104</v>
      </c>
      <c r="B36" s="20" t="s">
        <v>95</v>
      </c>
      <c r="C36" s="23">
        <v>2214</v>
      </c>
      <c r="D36" s="20" t="s">
        <v>34</v>
      </c>
      <c r="E36" s="23">
        <v>20100</v>
      </c>
      <c r="F36" s="20" t="s">
        <v>67</v>
      </c>
      <c r="G36" s="23">
        <v>2314005</v>
      </c>
      <c r="H36" s="20" t="s">
        <v>34</v>
      </c>
      <c r="I36" s="23">
        <v>2733</v>
      </c>
      <c r="J36" s="20" t="s">
        <v>96</v>
      </c>
      <c r="K36" s="24">
        <v>106848.08</v>
      </c>
    </row>
    <row r="37" spans="1:11" x14ac:dyDescent="0.25">
      <c r="A37" s="22" t="s">
        <v>105</v>
      </c>
      <c r="B37" s="20" t="s">
        <v>71</v>
      </c>
      <c r="C37" s="23">
        <v>2214</v>
      </c>
      <c r="D37" s="20" t="s">
        <v>34</v>
      </c>
      <c r="E37" s="23">
        <v>20100</v>
      </c>
      <c r="F37" s="20" t="s">
        <v>67</v>
      </c>
      <c r="G37" s="23">
        <v>2314005</v>
      </c>
      <c r="H37" s="20" t="s">
        <v>34</v>
      </c>
      <c r="I37" s="23">
        <v>2733</v>
      </c>
      <c r="J37" s="20" t="s">
        <v>96</v>
      </c>
      <c r="K37" s="24">
        <v>26712.02</v>
      </c>
    </row>
    <row r="38" spans="1:11" x14ac:dyDescent="0.25">
      <c r="A38" s="22" t="s">
        <v>106</v>
      </c>
      <c r="B38" s="20" t="s">
        <v>75</v>
      </c>
      <c r="C38" s="23">
        <v>2214</v>
      </c>
      <c r="D38" s="20" t="s">
        <v>34</v>
      </c>
      <c r="E38" s="23">
        <v>20100</v>
      </c>
      <c r="F38" s="20" t="s">
        <v>67</v>
      </c>
      <c r="G38" s="23">
        <v>2314005</v>
      </c>
      <c r="H38" s="20" t="s">
        <v>34</v>
      </c>
      <c r="I38" s="23">
        <v>2733</v>
      </c>
      <c r="J38" s="20" t="s">
        <v>96</v>
      </c>
      <c r="K38" s="24">
        <v>2991.75</v>
      </c>
    </row>
    <row r="39" spans="1:11" x14ac:dyDescent="0.25">
      <c r="G39" s="23">
        <v>2314005</v>
      </c>
      <c r="H39" s="20" t="s">
        <v>34</v>
      </c>
      <c r="K39" s="24">
        <v>136551.85</v>
      </c>
    </row>
    <row r="40" spans="1:11" x14ac:dyDescent="0.25">
      <c r="A40" s="22" t="s">
        <v>105</v>
      </c>
      <c r="B40" s="20" t="s">
        <v>71</v>
      </c>
      <c r="C40" s="23">
        <v>2217</v>
      </c>
      <c r="D40" s="20" t="s">
        <v>35</v>
      </c>
      <c r="E40" s="23">
        <v>20100</v>
      </c>
      <c r="F40" s="20" t="s">
        <v>67</v>
      </c>
      <c r="G40" s="23">
        <v>2317005</v>
      </c>
      <c r="H40" s="20" t="s">
        <v>35</v>
      </c>
      <c r="I40" s="23">
        <v>2733</v>
      </c>
      <c r="J40" s="20" t="s">
        <v>96</v>
      </c>
      <c r="K40" s="24">
        <v>24748.7</v>
      </c>
    </row>
    <row r="41" spans="1:11" x14ac:dyDescent="0.25">
      <c r="A41" s="22" t="s">
        <v>106</v>
      </c>
      <c r="B41" s="20" t="s">
        <v>75</v>
      </c>
      <c r="C41" s="23">
        <v>2217</v>
      </c>
      <c r="D41" s="20" t="s">
        <v>35</v>
      </c>
      <c r="E41" s="23">
        <v>20100</v>
      </c>
      <c r="F41" s="20" t="s">
        <v>67</v>
      </c>
      <c r="G41" s="23">
        <v>2317005</v>
      </c>
      <c r="H41" s="20" t="s">
        <v>35</v>
      </c>
      <c r="I41" s="23">
        <v>2733</v>
      </c>
      <c r="J41" s="20" t="s">
        <v>96</v>
      </c>
      <c r="K41" s="24">
        <v>3490.53</v>
      </c>
    </row>
    <row r="42" spans="1:11" x14ac:dyDescent="0.25">
      <c r="A42" s="22" t="s">
        <v>108</v>
      </c>
      <c r="B42" s="20" t="s">
        <v>102</v>
      </c>
      <c r="C42" s="23">
        <v>2217</v>
      </c>
      <c r="D42" s="20" t="s">
        <v>35</v>
      </c>
      <c r="E42" s="23">
        <v>20100</v>
      </c>
      <c r="F42" s="20" t="s">
        <v>67</v>
      </c>
      <c r="G42" s="23">
        <v>2317005</v>
      </c>
      <c r="H42" s="20" t="s">
        <v>35</v>
      </c>
      <c r="I42" s="23">
        <v>2733</v>
      </c>
      <c r="J42" s="20" t="s">
        <v>96</v>
      </c>
      <c r="K42" s="24">
        <v>8315</v>
      </c>
    </row>
    <row r="43" spans="1:11" x14ac:dyDescent="0.25">
      <c r="A43" s="22" t="s">
        <v>104</v>
      </c>
      <c r="B43" s="20" t="s">
        <v>95</v>
      </c>
      <c r="C43" s="23">
        <v>2217</v>
      </c>
      <c r="D43" s="20" t="s">
        <v>35</v>
      </c>
      <c r="E43" s="23">
        <v>20100</v>
      </c>
      <c r="F43" s="20" t="s">
        <v>67</v>
      </c>
      <c r="G43" s="23">
        <v>2317005</v>
      </c>
      <c r="H43" s="20" t="s">
        <v>35</v>
      </c>
      <c r="I43" s="23">
        <v>2733</v>
      </c>
      <c r="J43" s="20" t="s">
        <v>96</v>
      </c>
      <c r="K43" s="24">
        <v>90679.8</v>
      </c>
    </row>
    <row r="44" spans="1:11" x14ac:dyDescent="0.25">
      <c r="G44" s="23">
        <v>2317005</v>
      </c>
      <c r="H44" s="20" t="s">
        <v>35</v>
      </c>
      <c r="K44" s="24">
        <v>127234.03</v>
      </c>
    </row>
    <row r="45" spans="1:11" x14ac:dyDescent="0.25">
      <c r="A45" s="22" t="s">
        <v>104</v>
      </c>
      <c r="B45" s="20" t="s">
        <v>95</v>
      </c>
      <c r="C45" s="23">
        <v>2230</v>
      </c>
      <c r="D45" s="20" t="s">
        <v>36</v>
      </c>
      <c r="E45" s="23">
        <v>20100</v>
      </c>
      <c r="F45" s="20" t="s">
        <v>67</v>
      </c>
      <c r="G45" s="23">
        <v>2319005</v>
      </c>
      <c r="H45" s="20" t="s">
        <v>103</v>
      </c>
      <c r="I45" s="23">
        <v>2733</v>
      </c>
      <c r="J45" s="20" t="s">
        <v>96</v>
      </c>
      <c r="K45" s="24">
        <v>33725.08</v>
      </c>
    </row>
    <row r="46" spans="1:11" x14ac:dyDescent="0.25">
      <c r="A46" s="22" t="s">
        <v>106</v>
      </c>
      <c r="B46" s="20" t="s">
        <v>75</v>
      </c>
      <c r="C46" s="23">
        <v>2230</v>
      </c>
      <c r="D46" s="20" t="s">
        <v>36</v>
      </c>
      <c r="E46" s="23">
        <v>20100</v>
      </c>
      <c r="F46" s="20" t="s">
        <v>67</v>
      </c>
      <c r="G46" s="23">
        <v>2319005</v>
      </c>
      <c r="H46" s="20" t="s">
        <v>103</v>
      </c>
      <c r="I46" s="23">
        <v>2733</v>
      </c>
      <c r="J46" s="20" t="s">
        <v>96</v>
      </c>
      <c r="K46" s="24">
        <v>944.3</v>
      </c>
    </row>
    <row r="47" spans="1:11" x14ac:dyDescent="0.25">
      <c r="A47" s="22" t="s">
        <v>105</v>
      </c>
      <c r="B47" s="20" t="s">
        <v>71</v>
      </c>
      <c r="C47" s="23">
        <v>2230</v>
      </c>
      <c r="D47" s="20" t="s">
        <v>36</v>
      </c>
      <c r="E47" s="23">
        <v>20100</v>
      </c>
      <c r="F47" s="20" t="s">
        <v>67</v>
      </c>
      <c r="G47" s="23">
        <v>2319005</v>
      </c>
      <c r="H47" s="20" t="s">
        <v>103</v>
      </c>
      <c r="I47" s="23">
        <v>2733</v>
      </c>
      <c r="J47" s="20" t="s">
        <v>96</v>
      </c>
      <c r="K47" s="24">
        <v>8431.27</v>
      </c>
    </row>
    <row r="48" spans="1:11" x14ac:dyDescent="0.25">
      <c r="G48" s="23">
        <v>2319005</v>
      </c>
      <c r="H48" s="20" t="s">
        <v>103</v>
      </c>
      <c r="K48" s="24">
        <v>43100.65</v>
      </c>
    </row>
    <row r="49" spans="1:16" x14ac:dyDescent="0.25">
      <c r="J49" s="20" t="s">
        <v>136</v>
      </c>
      <c r="K49" s="24">
        <f>K58</f>
        <v>-192765.29</v>
      </c>
    </row>
    <row r="50" spans="1:16" ht="13.8" thickBot="1" x14ac:dyDescent="0.3">
      <c r="J50" s="38" t="s">
        <v>137</v>
      </c>
      <c r="K50" s="39">
        <f>985416.19+K49</f>
        <v>792650.89999999991</v>
      </c>
    </row>
    <row r="52" spans="1:16" x14ac:dyDescent="0.25">
      <c r="A52" s="22" t="s">
        <v>13</v>
      </c>
      <c r="B52" s="20" t="s">
        <v>24</v>
      </c>
      <c r="E52" s="23" t="s">
        <v>27</v>
      </c>
      <c r="F52" s="20" t="s">
        <v>28</v>
      </c>
      <c r="I52" s="23" t="s">
        <v>69</v>
      </c>
      <c r="J52" s="20" t="s">
        <v>70</v>
      </c>
      <c r="K52" s="23" t="s">
        <v>0</v>
      </c>
    </row>
    <row r="53" spans="1:16" x14ac:dyDescent="0.25">
      <c r="A53" s="22" t="s">
        <v>106</v>
      </c>
      <c r="B53" s="20" t="s">
        <v>75</v>
      </c>
      <c r="E53" s="23">
        <v>20100</v>
      </c>
      <c r="F53" s="20" t="s">
        <v>67</v>
      </c>
      <c r="I53" s="23">
        <v>2733</v>
      </c>
      <c r="J53" s="20" t="s">
        <v>96</v>
      </c>
      <c r="K53" s="24">
        <v>21589.73</v>
      </c>
      <c r="L53" s="27">
        <v>2733</v>
      </c>
      <c r="M53" s="26" t="s">
        <v>96</v>
      </c>
      <c r="N53" s="28">
        <v>4636.76</v>
      </c>
      <c r="O53" s="30">
        <f>K53-N53</f>
        <v>16952.97</v>
      </c>
    </row>
    <row r="54" spans="1:16" x14ac:dyDescent="0.25">
      <c r="A54" s="22" t="s">
        <v>107</v>
      </c>
      <c r="B54" s="20" t="s">
        <v>100</v>
      </c>
      <c r="E54" s="23">
        <v>20100</v>
      </c>
      <c r="F54" s="20" t="s">
        <v>67</v>
      </c>
      <c r="I54" s="23">
        <v>2733</v>
      </c>
      <c r="J54" s="20" t="s">
        <v>96</v>
      </c>
      <c r="K54" s="24">
        <v>3848.8</v>
      </c>
      <c r="O54" s="30">
        <f t="shared" ref="O54:O58" si="0">K54-N54</f>
        <v>3848.8</v>
      </c>
    </row>
    <row r="55" spans="1:16" x14ac:dyDescent="0.25">
      <c r="A55" s="22" t="s">
        <v>104</v>
      </c>
      <c r="B55" s="20" t="s">
        <v>95</v>
      </c>
      <c r="E55" s="23">
        <v>20100</v>
      </c>
      <c r="F55" s="20" t="s">
        <v>67</v>
      </c>
      <c r="I55" s="23">
        <v>2733</v>
      </c>
      <c r="J55" s="20" t="s">
        <v>96</v>
      </c>
      <c r="K55" s="24">
        <v>739193.97</v>
      </c>
      <c r="L55" s="27">
        <v>2733</v>
      </c>
      <c r="M55" s="26" t="s">
        <v>96</v>
      </c>
      <c r="N55" s="28">
        <v>165598.39999999999</v>
      </c>
      <c r="O55" s="30">
        <f t="shared" si="0"/>
        <v>573595.56999999995</v>
      </c>
    </row>
    <row r="56" spans="1:16" x14ac:dyDescent="0.25">
      <c r="A56" s="22" t="s">
        <v>108</v>
      </c>
      <c r="B56" s="20" t="s">
        <v>102</v>
      </c>
      <c r="E56" s="23">
        <v>20100</v>
      </c>
      <c r="F56" s="20" t="s">
        <v>67</v>
      </c>
      <c r="I56" s="23">
        <v>2733</v>
      </c>
      <c r="J56" s="20" t="s">
        <v>96</v>
      </c>
      <c r="K56" s="24">
        <v>28018.400000000001</v>
      </c>
      <c r="O56" s="30">
        <f t="shared" si="0"/>
        <v>28018.400000000001</v>
      </c>
      <c r="P56" s="20">
        <f>SUM(O53:O56)</f>
        <v>622415.74</v>
      </c>
    </row>
    <row r="57" spans="1:16" x14ac:dyDescent="0.25">
      <c r="A57" s="22" t="s">
        <v>105</v>
      </c>
      <c r="B57" s="20" t="s">
        <v>71</v>
      </c>
      <c r="E57" s="23">
        <v>20100</v>
      </c>
      <c r="F57" s="20" t="s">
        <v>67</v>
      </c>
      <c r="I57" s="23">
        <v>2733</v>
      </c>
      <c r="J57" s="20" t="s">
        <v>96</v>
      </c>
      <c r="K57" s="24">
        <v>192765.29</v>
      </c>
      <c r="L57" s="27">
        <v>2733</v>
      </c>
      <c r="M57" s="26" t="s">
        <v>96</v>
      </c>
      <c r="N57" s="28">
        <v>41399.599999999999</v>
      </c>
      <c r="O57" s="30">
        <f t="shared" si="0"/>
        <v>151365.69</v>
      </c>
    </row>
    <row r="58" spans="1:16" x14ac:dyDescent="0.25">
      <c r="A58" s="29" t="s">
        <v>109</v>
      </c>
      <c r="B58" s="20" t="s">
        <v>71</v>
      </c>
      <c r="K58" s="24">
        <v>-192765.29</v>
      </c>
      <c r="L58" s="27"/>
      <c r="M58" s="26"/>
      <c r="N58" s="28">
        <v>-41399.599999999999</v>
      </c>
      <c r="O58" s="30">
        <f t="shared" si="0"/>
        <v>-151365.69</v>
      </c>
    </row>
    <row r="59" spans="1:16" x14ac:dyDescent="0.25">
      <c r="K59" s="24">
        <f>SUM(K53:K58)</f>
        <v>792650.9</v>
      </c>
      <c r="L59" s="27"/>
      <c r="M59" s="26"/>
      <c r="N59" s="28">
        <v>211634.76</v>
      </c>
      <c r="O59" s="30">
        <f>SUM(O53:O58)</f>
        <v>622415.74</v>
      </c>
    </row>
    <row r="60" spans="1:16" x14ac:dyDescent="0.25">
      <c r="I60" s="40"/>
    </row>
    <row r="61" spans="1:16" x14ac:dyDescent="0.25">
      <c r="H61" s="20" t="s">
        <v>138</v>
      </c>
      <c r="I61" s="40">
        <f>K50</f>
        <v>792650.89999999991</v>
      </c>
    </row>
    <row r="62" spans="1:16" x14ac:dyDescent="0.25">
      <c r="H62" s="20" t="s">
        <v>139</v>
      </c>
      <c r="I62" s="40">
        <f>K24+K25</f>
        <v>170235.16</v>
      </c>
    </row>
    <row r="63" spans="1:16" x14ac:dyDescent="0.25">
      <c r="I63" s="40"/>
    </row>
    <row r="64" spans="1:16" x14ac:dyDescent="0.25">
      <c r="I64" s="40"/>
    </row>
    <row r="65" spans="1:15" x14ac:dyDescent="0.25">
      <c r="H65" s="40" t="s">
        <v>140</v>
      </c>
      <c r="I65" s="40">
        <f>I61-I62</f>
        <v>622415.73999999987</v>
      </c>
    </row>
    <row r="68" spans="1:15" x14ac:dyDescent="0.25">
      <c r="A68" s="20"/>
      <c r="C68" s="20"/>
      <c r="E68" s="20"/>
      <c r="G68" s="20"/>
      <c r="I68" s="20"/>
      <c r="K68" s="20"/>
      <c r="O68" s="20"/>
    </row>
    <row r="69" spans="1:15" x14ac:dyDescent="0.25">
      <c r="A69" s="20"/>
      <c r="C69" s="20"/>
      <c r="E69" s="20"/>
      <c r="G69" s="20"/>
      <c r="I69" s="20"/>
      <c r="K69" s="20"/>
      <c r="O69" s="20"/>
    </row>
    <row r="70" spans="1:15" x14ac:dyDescent="0.25">
      <c r="A70" s="20"/>
      <c r="B70" s="43" t="s">
        <v>142</v>
      </c>
      <c r="C70" s="40"/>
      <c r="D70" s="40"/>
      <c r="E70" s="40"/>
      <c r="F70" s="40"/>
      <c r="G70" s="40"/>
      <c r="I70" s="20"/>
      <c r="K70" s="20"/>
      <c r="O70" s="20"/>
    </row>
    <row r="71" spans="1:15" x14ac:dyDescent="0.25">
      <c r="A71" s="20"/>
      <c r="C71" s="20"/>
      <c r="E71" s="20"/>
      <c r="G71" s="20"/>
      <c r="I71" s="20"/>
      <c r="K71" s="20"/>
      <c r="O71" s="20"/>
    </row>
    <row r="72" spans="1:15" x14ac:dyDescent="0.25">
      <c r="A72" s="20"/>
      <c r="C72" s="20"/>
      <c r="E72" s="20"/>
      <c r="G72" s="20"/>
      <c r="I72" s="20"/>
      <c r="K72" s="20"/>
      <c r="O72" s="20"/>
    </row>
    <row r="73" spans="1:15" x14ac:dyDescent="0.25">
      <c r="A73" s="20"/>
      <c r="C73" s="20"/>
      <c r="E73" s="20"/>
      <c r="G73" s="20"/>
      <c r="I73" s="20"/>
      <c r="K73" s="20"/>
      <c r="O73" s="20"/>
    </row>
    <row r="74" spans="1:15" x14ac:dyDescent="0.25">
      <c r="A74" s="20"/>
      <c r="C74" s="20"/>
      <c r="E74" s="20"/>
      <c r="G74" s="20"/>
      <c r="I74" s="20"/>
      <c r="K74" s="20"/>
      <c r="O74" s="20"/>
    </row>
    <row r="75" spans="1:15" x14ac:dyDescent="0.25">
      <c r="A75" s="20"/>
      <c r="C75" s="20"/>
      <c r="E75" s="20"/>
      <c r="G75" s="20"/>
      <c r="I75" s="20"/>
      <c r="K75" s="20"/>
      <c r="O75" s="20"/>
    </row>
    <row r="77" spans="1:15" x14ac:dyDescent="0.25">
      <c r="B77" s="23" t="s">
        <v>24</v>
      </c>
      <c r="C77" s="20" t="s">
        <v>27</v>
      </c>
      <c r="D77" s="23" t="s">
        <v>28</v>
      </c>
      <c r="G77" s="20" t="s">
        <v>1</v>
      </c>
      <c r="H77" s="23" t="s">
        <v>29</v>
      </c>
      <c r="I77" s="20" t="s">
        <v>69</v>
      </c>
      <c r="J77" s="24" t="s">
        <v>70</v>
      </c>
      <c r="K77" s="20" t="s">
        <v>0</v>
      </c>
    </row>
    <row r="78" spans="1:15" x14ac:dyDescent="0.25">
      <c r="A78" s="29" t="s">
        <v>113</v>
      </c>
      <c r="B78" s="23" t="s">
        <v>77</v>
      </c>
      <c r="C78" s="23">
        <v>22116</v>
      </c>
      <c r="D78" s="23" t="s">
        <v>72</v>
      </c>
      <c r="G78" s="23">
        <v>2319</v>
      </c>
      <c r="H78" s="23" t="s">
        <v>36</v>
      </c>
      <c r="I78" s="23">
        <v>2156</v>
      </c>
      <c r="J78" s="24" t="s">
        <v>78</v>
      </c>
      <c r="K78" s="24">
        <v>142971.81</v>
      </c>
      <c r="L78" s="31" t="s">
        <v>115</v>
      </c>
    </row>
    <row r="79" spans="1:15" x14ac:dyDescent="0.25">
      <c r="A79" s="22" t="s">
        <v>105</v>
      </c>
      <c r="B79" s="23" t="s">
        <v>71</v>
      </c>
      <c r="C79" s="23">
        <v>22116</v>
      </c>
      <c r="D79" s="23" t="s">
        <v>72</v>
      </c>
      <c r="G79" s="23">
        <v>2319</v>
      </c>
      <c r="H79" s="23" t="s">
        <v>36</v>
      </c>
      <c r="I79" s="23">
        <v>2156</v>
      </c>
      <c r="J79" s="24" t="s">
        <v>78</v>
      </c>
      <c r="K79" s="24">
        <v>35742.949999999997</v>
      </c>
      <c r="L79" s="31" t="s">
        <v>115</v>
      </c>
    </row>
    <row r="80" spans="1:15" x14ac:dyDescent="0.25">
      <c r="A80" s="22" t="s">
        <v>106</v>
      </c>
      <c r="B80" s="23" t="s">
        <v>75</v>
      </c>
      <c r="C80" s="23">
        <v>22116</v>
      </c>
      <c r="D80" s="23" t="s">
        <v>72</v>
      </c>
      <c r="G80" s="23">
        <v>2319</v>
      </c>
      <c r="H80" s="23" t="s">
        <v>36</v>
      </c>
      <c r="I80" s="23">
        <v>2156</v>
      </c>
      <c r="J80" s="24" t="s">
        <v>78</v>
      </c>
      <c r="K80" s="24">
        <v>4003.21</v>
      </c>
      <c r="L80" s="31" t="s">
        <v>115</v>
      </c>
    </row>
    <row r="81" spans="1:12" x14ac:dyDescent="0.25">
      <c r="B81" s="23"/>
      <c r="D81" s="23"/>
      <c r="H81" s="23"/>
      <c r="I81" s="23">
        <v>2156</v>
      </c>
      <c r="J81" s="24" t="s">
        <v>78</v>
      </c>
      <c r="K81" s="24">
        <v>182717.97</v>
      </c>
      <c r="L81" s="31" t="s">
        <v>115</v>
      </c>
    </row>
    <row r="82" spans="1:12" x14ac:dyDescent="0.25">
      <c r="A82" s="22" t="s">
        <v>113</v>
      </c>
      <c r="B82" s="23" t="s">
        <v>77</v>
      </c>
      <c r="C82" s="23">
        <v>22116</v>
      </c>
      <c r="D82" s="23" t="s">
        <v>72</v>
      </c>
      <c r="G82" s="23">
        <v>2304</v>
      </c>
      <c r="H82" s="23" t="s">
        <v>32</v>
      </c>
      <c r="I82" s="23">
        <v>6961</v>
      </c>
      <c r="J82" s="24" t="s">
        <v>76</v>
      </c>
      <c r="K82" s="24">
        <v>837628.21</v>
      </c>
      <c r="L82" s="31" t="s">
        <v>116</v>
      </c>
    </row>
    <row r="83" spans="1:12" x14ac:dyDescent="0.25">
      <c r="A83" s="22" t="s">
        <v>105</v>
      </c>
      <c r="B83" s="23" t="s">
        <v>71</v>
      </c>
      <c r="C83" s="23">
        <v>22116</v>
      </c>
      <c r="D83" s="23" t="s">
        <v>72</v>
      </c>
      <c r="G83" s="23">
        <v>2304</v>
      </c>
      <c r="H83" s="23" t="s">
        <v>32</v>
      </c>
      <c r="I83" s="23">
        <v>6961</v>
      </c>
      <c r="J83" s="24" t="s">
        <v>76</v>
      </c>
      <c r="K83" s="24">
        <v>209407.06</v>
      </c>
      <c r="L83" s="31" t="s">
        <v>116</v>
      </c>
    </row>
    <row r="84" spans="1:12" x14ac:dyDescent="0.25">
      <c r="A84" s="22" t="s">
        <v>106</v>
      </c>
      <c r="B84" s="23" t="s">
        <v>75</v>
      </c>
      <c r="C84" s="23">
        <v>22116</v>
      </c>
      <c r="D84" s="23" t="s">
        <v>72</v>
      </c>
      <c r="G84" s="23">
        <v>2304</v>
      </c>
      <c r="H84" s="23" t="s">
        <v>32</v>
      </c>
      <c r="I84" s="23">
        <v>6961</v>
      </c>
      <c r="J84" s="24" t="s">
        <v>76</v>
      </c>
      <c r="K84" s="24">
        <v>23453.59</v>
      </c>
      <c r="L84" s="31" t="s">
        <v>116</v>
      </c>
    </row>
    <row r="85" spans="1:12" x14ac:dyDescent="0.25">
      <c r="B85" s="23"/>
      <c r="D85" s="23"/>
      <c r="H85" s="23"/>
      <c r="I85" s="23">
        <v>6961</v>
      </c>
      <c r="J85" s="24" t="s">
        <v>76</v>
      </c>
      <c r="K85" s="24">
        <v>1070488.8600000001</v>
      </c>
      <c r="L85" s="31" t="s">
        <v>116</v>
      </c>
    </row>
    <row r="86" spans="1:12" x14ac:dyDescent="0.25">
      <c r="A86" s="22" t="s">
        <v>114</v>
      </c>
      <c r="B86" s="23" t="s">
        <v>74</v>
      </c>
      <c r="C86" s="23">
        <v>22116</v>
      </c>
      <c r="D86" s="23" t="s">
        <v>72</v>
      </c>
      <c r="H86" s="23"/>
      <c r="I86" s="23">
        <v>6973</v>
      </c>
      <c r="J86" s="24" t="s">
        <v>73</v>
      </c>
      <c r="K86" s="24">
        <v>-8119.66</v>
      </c>
      <c r="L86" s="31" t="s">
        <v>143</v>
      </c>
    </row>
    <row r="87" spans="1:12" x14ac:dyDescent="0.25">
      <c r="A87" s="22" t="s">
        <v>105</v>
      </c>
      <c r="B87" s="23" t="s">
        <v>71</v>
      </c>
      <c r="C87" s="23">
        <v>22116</v>
      </c>
      <c r="D87" s="23" t="s">
        <v>72</v>
      </c>
      <c r="H87" s="23"/>
      <c r="I87" s="23">
        <v>6973</v>
      </c>
      <c r="J87" s="24" t="s">
        <v>73</v>
      </c>
      <c r="K87" s="24">
        <v>8119.66</v>
      </c>
      <c r="L87" s="31" t="s">
        <v>143</v>
      </c>
    </row>
    <row r="88" spans="1:12" x14ac:dyDescent="0.25">
      <c r="A88" s="22" t="s">
        <v>114</v>
      </c>
      <c r="B88" s="23" t="s">
        <v>74</v>
      </c>
      <c r="C88" s="23">
        <v>22116</v>
      </c>
      <c r="D88" s="23" t="s">
        <v>72</v>
      </c>
      <c r="G88" s="23">
        <v>8041005</v>
      </c>
      <c r="H88" s="23" t="s">
        <v>79</v>
      </c>
      <c r="I88" s="23">
        <v>6973</v>
      </c>
      <c r="J88" s="24" t="s">
        <v>73</v>
      </c>
      <c r="K88" s="24">
        <v>40598.28</v>
      </c>
      <c r="L88" s="31" t="s">
        <v>143</v>
      </c>
    </row>
    <row r="89" spans="1:12" x14ac:dyDescent="0.25">
      <c r="A89" s="22" t="s">
        <v>106</v>
      </c>
      <c r="B89" s="23" t="s">
        <v>75</v>
      </c>
      <c r="C89" s="23">
        <v>22116</v>
      </c>
      <c r="D89" s="23" t="s">
        <v>72</v>
      </c>
      <c r="G89" s="23">
        <v>8041005</v>
      </c>
      <c r="H89" s="23" t="s">
        <v>79</v>
      </c>
      <c r="I89" s="23">
        <v>6973</v>
      </c>
      <c r="J89" s="24" t="s">
        <v>73</v>
      </c>
      <c r="K89" s="24">
        <v>909.4</v>
      </c>
      <c r="L89" s="31" t="s">
        <v>143</v>
      </c>
    </row>
    <row r="90" spans="1:12" x14ac:dyDescent="0.25">
      <c r="B90" s="23"/>
      <c r="D90" s="23"/>
      <c r="H90" s="23"/>
      <c r="I90" s="23">
        <v>6973</v>
      </c>
      <c r="J90" s="24" t="s">
        <v>73</v>
      </c>
      <c r="K90" s="24">
        <v>41507.68</v>
      </c>
      <c r="L90" s="31" t="s">
        <v>143</v>
      </c>
    </row>
    <row r="91" spans="1:12" x14ac:dyDescent="0.25">
      <c r="B91" s="23"/>
      <c r="C91" s="20"/>
      <c r="D91" s="23"/>
      <c r="G91" s="20"/>
      <c r="H91" s="23"/>
      <c r="I91" s="20"/>
      <c r="J91" s="24"/>
      <c r="K91" s="24">
        <v>1294714.51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94584-46E4-46A7-AFEC-397D5D3BEDAD}">
  <dimension ref="A2:E19"/>
  <sheetViews>
    <sheetView workbookViewId="0">
      <selection activeCell="K46" sqref="K46"/>
    </sheetView>
  </sheetViews>
  <sheetFormatPr baseColWidth="10" defaultRowHeight="13.2" x14ac:dyDescent="0.25"/>
  <cols>
    <col min="2" max="2" width="42.109375" customWidth="1"/>
    <col min="3" max="3" width="11.5546875" style="5"/>
    <col min="5" max="5" width="14.88671875" customWidth="1"/>
  </cols>
  <sheetData>
    <row r="2" spans="1:5" x14ac:dyDescent="0.25">
      <c r="D2" s="44" t="s">
        <v>67</v>
      </c>
      <c r="E2" s="45">
        <v>0.2</v>
      </c>
    </row>
    <row r="3" spans="1:5" x14ac:dyDescent="0.25">
      <c r="D3" s="6" t="s">
        <v>66</v>
      </c>
    </row>
    <row r="4" spans="1:5" x14ac:dyDescent="0.25">
      <c r="A4">
        <v>11801</v>
      </c>
      <c r="B4" t="s">
        <v>61</v>
      </c>
      <c r="C4" s="5">
        <v>275244.86</v>
      </c>
      <c r="D4" s="5">
        <f>C4*$E$2</f>
        <v>55048.972000000002</v>
      </c>
    </row>
    <row r="5" spans="1:5" x14ac:dyDescent="0.25">
      <c r="A5">
        <v>11953</v>
      </c>
      <c r="B5" t="s">
        <v>60</v>
      </c>
      <c r="C5" s="5">
        <v>201380.37</v>
      </c>
      <c r="D5" s="5">
        <f>C5*$E$2</f>
        <v>40276.074000000001</v>
      </c>
    </row>
    <row r="6" spans="1:5" x14ac:dyDescent="0.25">
      <c r="A6">
        <v>12004</v>
      </c>
      <c r="B6" t="s">
        <v>62</v>
      </c>
      <c r="D6" s="5">
        <v>3890</v>
      </c>
      <c r="E6" t="s">
        <v>65</v>
      </c>
    </row>
    <row r="7" spans="1:5" x14ac:dyDescent="0.25">
      <c r="A7">
        <v>12403</v>
      </c>
      <c r="B7" t="s">
        <v>63</v>
      </c>
      <c r="C7" s="5">
        <v>85987.12</v>
      </c>
      <c r="D7" s="5">
        <f>C7*$E$2</f>
        <v>17197.423999999999</v>
      </c>
    </row>
    <row r="8" spans="1:5" x14ac:dyDescent="0.25">
      <c r="A8">
        <v>12407</v>
      </c>
      <c r="B8" t="s">
        <v>64</v>
      </c>
      <c r="C8" s="5">
        <v>19677.2</v>
      </c>
      <c r="D8" s="5">
        <f>C8*$E$2</f>
        <v>3935.4400000000005</v>
      </c>
    </row>
    <row r="10" spans="1:5" x14ac:dyDescent="0.25">
      <c r="B10" s="6" t="s">
        <v>68</v>
      </c>
      <c r="D10" s="5">
        <f>SUM(D4:D9)</f>
        <v>120347.91</v>
      </c>
    </row>
    <row r="19" spans="1:1" x14ac:dyDescent="0.25">
      <c r="A19" s="6" t="s">
        <v>144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4E79B-6A00-49DA-ACC8-7BC26B22D156}">
  <dimension ref="A2:J40"/>
  <sheetViews>
    <sheetView workbookViewId="0">
      <selection activeCell="B48" sqref="B48"/>
    </sheetView>
  </sheetViews>
  <sheetFormatPr baseColWidth="10" defaultRowHeight="13.2" x14ac:dyDescent="0.25"/>
  <cols>
    <col min="1" max="1" width="15" customWidth="1"/>
    <col min="2" max="2" width="23.44140625" customWidth="1"/>
    <col min="7" max="7" width="18.5546875" customWidth="1"/>
  </cols>
  <sheetData>
    <row r="2" spans="1:10" x14ac:dyDescent="0.25">
      <c r="C2">
        <v>486000</v>
      </c>
      <c r="E2" s="9">
        <v>0.16</v>
      </c>
      <c r="F2" s="8">
        <v>0.14099999999999999</v>
      </c>
    </row>
    <row r="3" spans="1:10" x14ac:dyDescent="0.25">
      <c r="A3">
        <v>2314</v>
      </c>
      <c r="B3" t="s">
        <v>37</v>
      </c>
      <c r="C3" s="8">
        <v>0.16669999999999999</v>
      </c>
      <c r="D3" s="5">
        <f t="shared" ref="D3:D4" si="0">$C$2*C3</f>
        <v>81016.2</v>
      </c>
      <c r="E3" s="5">
        <f t="shared" ref="E3:E4" si="1">D3*$E$2</f>
        <v>12962.592000000001</v>
      </c>
      <c r="F3" s="5">
        <f t="shared" ref="F3:F4" si="2">(D3+E3)*$F$2</f>
        <v>13251.009671999998</v>
      </c>
      <c r="G3" s="5">
        <f t="shared" ref="G3:G4" si="3">SUM(D3:F3)</f>
        <v>107229.801672</v>
      </c>
      <c r="H3" s="5">
        <v>108000</v>
      </c>
      <c r="I3" s="5">
        <f t="shared" ref="I3:I4" si="4">H3-G3</f>
        <v>770.19832799999858</v>
      </c>
    </row>
    <row r="4" spans="1:10" x14ac:dyDescent="0.25">
      <c r="A4">
        <v>2317</v>
      </c>
      <c r="B4" t="s">
        <v>38</v>
      </c>
      <c r="C4" s="8">
        <v>0.4667</v>
      </c>
      <c r="D4" s="5">
        <f t="shared" si="0"/>
        <v>226816.2</v>
      </c>
      <c r="E4" s="5">
        <f t="shared" si="1"/>
        <v>36290.592000000004</v>
      </c>
      <c r="F4" s="5">
        <f t="shared" si="2"/>
        <v>37098.057671999995</v>
      </c>
      <c r="G4" s="5">
        <f t="shared" si="3"/>
        <v>300204.84967200004</v>
      </c>
      <c r="H4" s="5">
        <v>302000</v>
      </c>
      <c r="I4" s="5">
        <f t="shared" si="4"/>
        <v>1795.1503279999597</v>
      </c>
    </row>
    <row r="7" spans="1:10" x14ac:dyDescent="0.25">
      <c r="A7" s="48" t="s">
        <v>39</v>
      </c>
      <c r="D7" s="5">
        <v>110000</v>
      </c>
      <c r="E7" s="5">
        <f>D7*$E$2</f>
        <v>17600</v>
      </c>
      <c r="F7" s="5">
        <f>(D7+E7)*$F$2</f>
        <v>17991.599999999999</v>
      </c>
    </row>
    <row r="8" spans="1:10" x14ac:dyDescent="0.25">
      <c r="A8" s="6" t="s">
        <v>40</v>
      </c>
    </row>
    <row r="10" spans="1:10" ht="14.4" x14ac:dyDescent="0.3">
      <c r="A10" s="10">
        <v>10100</v>
      </c>
      <c r="B10" s="10" t="s">
        <v>41</v>
      </c>
      <c r="C10" s="10">
        <v>2317</v>
      </c>
      <c r="D10" s="10" t="s">
        <v>35</v>
      </c>
      <c r="E10" s="11">
        <v>-73646.44</v>
      </c>
      <c r="F10" s="12"/>
      <c r="G10" s="13" t="s">
        <v>42</v>
      </c>
      <c r="H10" s="5">
        <f t="shared" ref="H10:H15" si="5">E10</f>
        <v>-73646.44</v>
      </c>
      <c r="I10" s="5">
        <v>0</v>
      </c>
      <c r="J10" s="5">
        <v>0</v>
      </c>
    </row>
    <row r="11" spans="1:10" ht="14.4" x14ac:dyDescent="0.3">
      <c r="A11" s="10">
        <v>10201</v>
      </c>
      <c r="B11" s="10" t="s">
        <v>43</v>
      </c>
      <c r="C11" s="10">
        <v>2317</v>
      </c>
      <c r="D11" s="10" t="s">
        <v>35</v>
      </c>
      <c r="E11" s="11">
        <v>1723.08</v>
      </c>
      <c r="F11" s="12"/>
      <c r="G11" s="13" t="s">
        <v>42</v>
      </c>
      <c r="H11" s="5">
        <f t="shared" si="5"/>
        <v>1723.08</v>
      </c>
      <c r="I11" s="5">
        <v>0</v>
      </c>
      <c r="J11" s="5">
        <v>0</v>
      </c>
    </row>
    <row r="12" spans="1:10" ht="14.4" x14ac:dyDescent="0.3">
      <c r="A12" s="10">
        <v>10750</v>
      </c>
      <c r="B12" s="10" t="s">
        <v>44</v>
      </c>
      <c r="C12" s="10">
        <v>2317</v>
      </c>
      <c r="D12" s="10" t="s">
        <v>35</v>
      </c>
      <c r="E12" s="11">
        <v>140711.88</v>
      </c>
      <c r="F12" s="12"/>
      <c r="G12" s="13" t="s">
        <v>42</v>
      </c>
      <c r="H12" s="5">
        <f t="shared" si="5"/>
        <v>140711.88</v>
      </c>
      <c r="I12" s="5">
        <v>0</v>
      </c>
      <c r="J12" s="5"/>
    </row>
    <row r="13" spans="1:10" ht="14.4" x14ac:dyDescent="0.3">
      <c r="A13" s="10">
        <v>10751</v>
      </c>
      <c r="B13" s="10" t="s">
        <v>45</v>
      </c>
      <c r="C13" s="10">
        <v>2317</v>
      </c>
      <c r="D13" s="10" t="s">
        <v>35</v>
      </c>
      <c r="E13" s="11">
        <v>47232.82</v>
      </c>
      <c r="F13" s="12"/>
      <c r="G13" s="13" t="s">
        <v>42</v>
      </c>
      <c r="H13" s="5">
        <f t="shared" si="5"/>
        <v>47232.82</v>
      </c>
      <c r="I13" s="5">
        <v>0</v>
      </c>
      <c r="J13" s="5">
        <f>SUM(H10:H13)</f>
        <v>116021.34</v>
      </c>
    </row>
    <row r="14" spans="1:10" ht="14.4" x14ac:dyDescent="0.3">
      <c r="A14" s="10">
        <v>10755</v>
      </c>
      <c r="B14" s="10" t="s">
        <v>46</v>
      </c>
      <c r="C14" s="10">
        <v>2317</v>
      </c>
      <c r="D14" s="10" t="s">
        <v>35</v>
      </c>
      <c r="E14" s="11">
        <v>7305.56</v>
      </c>
      <c r="F14" s="12"/>
      <c r="G14" s="13" t="s">
        <v>42</v>
      </c>
      <c r="H14" s="5">
        <f t="shared" si="5"/>
        <v>7305.56</v>
      </c>
      <c r="I14" s="5">
        <v>7305.56</v>
      </c>
      <c r="J14" s="5"/>
    </row>
    <row r="15" spans="1:10" ht="14.4" x14ac:dyDescent="0.3">
      <c r="A15" s="10">
        <v>10757</v>
      </c>
      <c r="B15" s="10" t="s">
        <v>47</v>
      </c>
      <c r="C15" s="10">
        <v>2317</v>
      </c>
      <c r="D15" s="10" t="s">
        <v>35</v>
      </c>
      <c r="E15" s="11">
        <v>5373.72</v>
      </c>
      <c r="F15" s="12"/>
      <c r="G15" s="13" t="s">
        <v>42</v>
      </c>
      <c r="H15" s="5">
        <f t="shared" si="5"/>
        <v>5373.72</v>
      </c>
      <c r="I15" s="5">
        <f>H15</f>
        <v>5373.72</v>
      </c>
      <c r="J15" s="5"/>
    </row>
    <row r="16" spans="1:10" ht="14.4" x14ac:dyDescent="0.3">
      <c r="A16" s="10">
        <v>10759</v>
      </c>
      <c r="B16" s="10" t="s">
        <v>48</v>
      </c>
      <c r="C16" s="10">
        <v>2317</v>
      </c>
      <c r="D16" s="10" t="s">
        <v>35</v>
      </c>
      <c r="E16" s="11">
        <v>8281.14</v>
      </c>
      <c r="F16" s="12"/>
      <c r="G16" s="13" t="s">
        <v>42</v>
      </c>
      <c r="H16" s="5">
        <f t="shared" ref="H16:H20" si="6">E16</f>
        <v>8281.14</v>
      </c>
      <c r="I16" s="5">
        <f>H16</f>
        <v>8281.14</v>
      </c>
      <c r="J16" s="5"/>
    </row>
    <row r="17" spans="1:10" ht="14.4" x14ac:dyDescent="0.3">
      <c r="A17" s="10">
        <v>10900</v>
      </c>
      <c r="B17" s="10" t="s">
        <v>49</v>
      </c>
      <c r="C17" s="10">
        <v>2317</v>
      </c>
      <c r="D17" s="10" t="s">
        <v>35</v>
      </c>
      <c r="E17" s="11">
        <v>46128.5</v>
      </c>
      <c r="F17" s="12"/>
      <c r="G17" s="13" t="s">
        <v>50</v>
      </c>
      <c r="H17" s="5">
        <f t="shared" si="6"/>
        <v>46128.5</v>
      </c>
      <c r="I17" s="5">
        <f>(I14+I15+I16)*E2</f>
        <v>3353.6671999999999</v>
      </c>
      <c r="J17" s="5"/>
    </row>
    <row r="18" spans="1:10" ht="14.4" x14ac:dyDescent="0.3">
      <c r="A18" s="10">
        <v>10902</v>
      </c>
      <c r="B18" s="10" t="s">
        <v>51</v>
      </c>
      <c r="C18" s="10">
        <v>2317</v>
      </c>
      <c r="D18" s="10" t="s">
        <v>35</v>
      </c>
      <c r="E18" s="11">
        <v>556.46</v>
      </c>
      <c r="F18" s="12"/>
      <c r="G18" s="13" t="s">
        <v>42</v>
      </c>
      <c r="H18" s="5">
        <f t="shared" si="6"/>
        <v>556.46</v>
      </c>
      <c r="I18" s="5">
        <v>556</v>
      </c>
      <c r="J18" s="5"/>
    </row>
    <row r="19" spans="1:10" ht="14.4" x14ac:dyDescent="0.3">
      <c r="A19" s="10">
        <v>10903</v>
      </c>
      <c r="B19" s="10" t="s">
        <v>52</v>
      </c>
      <c r="C19" s="10">
        <v>2317</v>
      </c>
      <c r="D19" s="10" t="s">
        <v>35</v>
      </c>
      <c r="E19" s="11">
        <v>16.84</v>
      </c>
      <c r="F19" s="12"/>
      <c r="G19" s="13" t="s">
        <v>42</v>
      </c>
      <c r="H19" s="5">
        <f t="shared" si="6"/>
        <v>16.84</v>
      </c>
      <c r="I19" s="5">
        <v>17</v>
      </c>
      <c r="J19" s="5"/>
    </row>
    <row r="20" spans="1:10" ht="14.4" x14ac:dyDescent="0.3">
      <c r="A20" s="10">
        <v>10990</v>
      </c>
      <c r="B20" s="10" t="s">
        <v>53</v>
      </c>
      <c r="C20" s="10">
        <v>2317</v>
      </c>
      <c r="D20" s="10" t="s">
        <v>35</v>
      </c>
      <c r="E20" s="11">
        <v>25899.41</v>
      </c>
      <c r="F20" s="12"/>
      <c r="G20" s="13" t="s">
        <v>54</v>
      </c>
      <c r="H20" s="5">
        <f t="shared" si="6"/>
        <v>25899.41</v>
      </c>
      <c r="I20" s="5">
        <f>(I14+I15+I16+I17+I18+I19)*F2</f>
        <v>3509.0792951999993</v>
      </c>
      <c r="J20" s="5"/>
    </row>
    <row r="21" spans="1:10" x14ac:dyDescent="0.25">
      <c r="H21" s="5"/>
      <c r="I21" s="5"/>
      <c r="J21" s="5"/>
    </row>
    <row r="22" spans="1:10" x14ac:dyDescent="0.25">
      <c r="G22" s="14" t="s">
        <v>56</v>
      </c>
      <c r="H22" s="5"/>
      <c r="I22" s="5"/>
      <c r="J22" s="5">
        <v>226000</v>
      </c>
    </row>
    <row r="23" spans="1:10" x14ac:dyDescent="0.25">
      <c r="A23" s="6"/>
      <c r="G23" s="14" t="s">
        <v>57</v>
      </c>
      <c r="H23" s="5"/>
      <c r="I23" s="5"/>
      <c r="J23" s="33">
        <f>J22-J13</f>
        <v>109978.66</v>
      </c>
    </row>
    <row r="24" spans="1:10" x14ac:dyDescent="0.25">
      <c r="A24" s="6"/>
      <c r="G24" s="14" t="s">
        <v>59</v>
      </c>
      <c r="H24" s="5"/>
      <c r="I24" s="5"/>
      <c r="J24" s="33">
        <f>110000*16%</f>
        <v>17600</v>
      </c>
    </row>
    <row r="25" spans="1:10" x14ac:dyDescent="0.25">
      <c r="G25" s="14" t="s">
        <v>58</v>
      </c>
      <c r="J25" s="33">
        <f>(110000+J24)*F2</f>
        <v>17991.599999999999</v>
      </c>
    </row>
    <row r="26" spans="1:10" x14ac:dyDescent="0.25">
      <c r="A26" s="48" t="s">
        <v>55</v>
      </c>
    </row>
    <row r="28" spans="1:10" ht="14.4" x14ac:dyDescent="0.3">
      <c r="A28" s="10">
        <v>10201</v>
      </c>
      <c r="B28" s="10" t="s">
        <v>43</v>
      </c>
      <c r="C28" s="10">
        <v>2314</v>
      </c>
      <c r="D28" s="10" t="s">
        <v>34</v>
      </c>
      <c r="E28" s="11">
        <v>477.61</v>
      </c>
      <c r="F28" s="12"/>
      <c r="G28" s="13" t="s">
        <v>42</v>
      </c>
      <c r="H28" s="5">
        <v>477.61</v>
      </c>
      <c r="I28" s="5">
        <v>0</v>
      </c>
    </row>
    <row r="29" spans="1:10" ht="14.4" x14ac:dyDescent="0.3">
      <c r="A29" s="10">
        <v>10750</v>
      </c>
      <c r="B29" s="10" t="s">
        <v>44</v>
      </c>
      <c r="C29" s="10">
        <v>2314</v>
      </c>
      <c r="D29" s="10" t="s">
        <v>34</v>
      </c>
      <c r="E29" s="11">
        <v>10207.68</v>
      </c>
      <c r="F29" s="12"/>
      <c r="G29" s="13" t="s">
        <v>42</v>
      </c>
      <c r="H29" s="5">
        <v>10207.68</v>
      </c>
      <c r="I29" s="5">
        <v>0</v>
      </c>
    </row>
    <row r="30" spans="1:10" ht="14.4" x14ac:dyDescent="0.3">
      <c r="A30" s="10">
        <v>10751</v>
      </c>
      <c r="B30" s="10" t="s">
        <v>45</v>
      </c>
      <c r="C30" s="10">
        <v>2314</v>
      </c>
      <c r="D30" s="10" t="s">
        <v>34</v>
      </c>
      <c r="E30" s="11">
        <v>40721.360000000001</v>
      </c>
      <c r="F30" s="12"/>
      <c r="G30" s="13" t="s">
        <v>42</v>
      </c>
      <c r="H30" s="5">
        <v>40721.360000000001</v>
      </c>
      <c r="I30" s="5">
        <v>0</v>
      </c>
      <c r="J30" s="5">
        <f>SUM(H28:H30)</f>
        <v>51406.65</v>
      </c>
    </row>
    <row r="31" spans="1:10" ht="14.4" x14ac:dyDescent="0.3">
      <c r="A31" s="10">
        <v>10755</v>
      </c>
      <c r="B31" s="10" t="s">
        <v>46</v>
      </c>
      <c r="C31" s="10">
        <v>2314</v>
      </c>
      <c r="D31" s="10" t="s">
        <v>34</v>
      </c>
      <c r="E31" s="11">
        <v>4735.88</v>
      </c>
      <c r="F31" s="12"/>
      <c r="G31" s="13" t="s">
        <v>42</v>
      </c>
      <c r="H31" s="5">
        <v>4735.88</v>
      </c>
      <c r="I31" s="5">
        <v>4735.88</v>
      </c>
    </row>
    <row r="32" spans="1:10" ht="14.4" x14ac:dyDescent="0.3">
      <c r="A32" s="10">
        <v>10757</v>
      </c>
      <c r="B32" s="10" t="s">
        <v>47</v>
      </c>
      <c r="C32" s="10">
        <v>2314</v>
      </c>
      <c r="D32" s="10" t="s">
        <v>34</v>
      </c>
      <c r="E32" s="11">
        <v>9444.7800000000007</v>
      </c>
      <c r="F32" s="12"/>
      <c r="G32" s="13" t="s">
        <v>42</v>
      </c>
      <c r="H32" s="5">
        <v>9444.7800000000007</v>
      </c>
      <c r="I32" s="5">
        <v>9444.7800000000007</v>
      </c>
    </row>
    <row r="33" spans="1:10" ht="14.4" x14ac:dyDescent="0.3">
      <c r="A33" s="10">
        <v>10900</v>
      </c>
      <c r="B33" s="10" t="s">
        <v>49</v>
      </c>
      <c r="C33" s="10">
        <v>2314</v>
      </c>
      <c r="D33" s="10" t="s">
        <v>34</v>
      </c>
      <c r="E33" s="11">
        <v>9012.57</v>
      </c>
      <c r="F33" s="12"/>
      <c r="G33" s="13" t="s">
        <v>50</v>
      </c>
      <c r="H33" s="5">
        <v>9012.57</v>
      </c>
      <c r="I33" s="5">
        <v>9012.57</v>
      </c>
    </row>
    <row r="34" spans="1:10" ht="14.4" x14ac:dyDescent="0.3">
      <c r="A34" s="10">
        <v>10990</v>
      </c>
      <c r="B34" s="10" t="s">
        <v>53</v>
      </c>
      <c r="C34" s="10">
        <v>2314</v>
      </c>
      <c r="D34" s="10" t="s">
        <v>34</v>
      </c>
      <c r="E34" s="11">
        <v>10518.61</v>
      </c>
      <c r="F34" s="12"/>
      <c r="G34" s="13" t="s">
        <v>54</v>
      </c>
      <c r="H34" s="5">
        <v>10518.61</v>
      </c>
      <c r="I34" s="5">
        <v>10518.61</v>
      </c>
    </row>
    <row r="35" spans="1:10" x14ac:dyDescent="0.25">
      <c r="J35" s="5"/>
    </row>
    <row r="36" spans="1:10" x14ac:dyDescent="0.25">
      <c r="G36" s="14" t="s">
        <v>56</v>
      </c>
      <c r="J36" s="5">
        <v>81000</v>
      </c>
    </row>
    <row r="37" spans="1:10" x14ac:dyDescent="0.25">
      <c r="G37" s="14" t="s">
        <v>57</v>
      </c>
      <c r="J37" s="33">
        <f>J36-J30</f>
        <v>29593.35</v>
      </c>
    </row>
    <row r="38" spans="1:10" x14ac:dyDescent="0.25">
      <c r="G38" s="14" t="s">
        <v>59</v>
      </c>
      <c r="J38" s="33">
        <f>J37*E2</f>
        <v>4734.9359999999997</v>
      </c>
    </row>
    <row r="39" spans="1:10" x14ac:dyDescent="0.25">
      <c r="G39" s="14" t="s">
        <v>58</v>
      </c>
      <c r="J39" s="33">
        <f>(J37+J38)*F2</f>
        <v>4840.2883259999999</v>
      </c>
    </row>
    <row r="40" spans="1:10" x14ac:dyDescent="0.25">
      <c r="J40" s="5"/>
    </row>
  </sheetData>
  <conditionalFormatting sqref="F10:F20">
    <cfRule type="expression" dxfId="5" priority="4">
      <formula>AND(COUNTA($L10,$M10,$N10)&gt;0,$J10&lt;&gt;SUM($L10:$N10))</formula>
    </cfRule>
  </conditionalFormatting>
  <conditionalFormatting sqref="F28:F34">
    <cfRule type="expression" dxfId="4" priority="2">
      <formula>AND(COUNTA($L28,$M28,$N28)&gt;0,$J28&lt;&gt;SUM($L28:$N28))</formula>
    </cfRule>
  </conditionalFormatting>
  <conditionalFormatting sqref="G10 G16:G20 G22:G25">
    <cfRule type="expression" dxfId="3" priority="5">
      <formula>AND($I10&lt;&gt;"",LEN(TRIM($K10))=0)</formula>
    </cfRule>
  </conditionalFormatting>
  <conditionalFormatting sqref="G11:G15">
    <cfRule type="expression" dxfId="2" priority="7">
      <formula>AND(#REF!&lt;&gt;"",LEN(TRIM($K11))=0)</formula>
    </cfRule>
  </conditionalFormatting>
  <conditionalFormatting sqref="G28:G34">
    <cfRule type="expression" dxfId="1" priority="3">
      <formula>AND($I28&lt;&gt;"",LEN(TRIM($K28))=0)</formula>
    </cfRule>
  </conditionalFormatting>
  <conditionalFormatting sqref="G36:G39">
    <cfRule type="expression" dxfId="0" priority="1">
      <formula>AND($I36&lt;&gt;"",LEN(TRIM($K36))=0)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7D841-5E04-4B55-8248-F2A3399DD38A}">
  <dimension ref="A1:M37"/>
  <sheetViews>
    <sheetView topLeftCell="A16" workbookViewId="0">
      <selection activeCell="L49" sqref="L49"/>
    </sheetView>
  </sheetViews>
  <sheetFormatPr baseColWidth="10" defaultRowHeight="13.2" x14ac:dyDescent="0.25"/>
  <cols>
    <col min="9" max="9" width="59.5546875" customWidth="1"/>
    <col min="10" max="10" width="11.5546875" style="5"/>
    <col min="11" max="11" width="15.6640625" customWidth="1"/>
    <col min="12" max="12" width="14.44140625" customWidth="1"/>
  </cols>
  <sheetData>
    <row r="1" spans="1:10" x14ac:dyDescent="0.25">
      <c r="B1" t="s">
        <v>13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1</v>
      </c>
      <c r="I1" t="s">
        <v>29</v>
      </c>
      <c r="J1" s="5" t="s">
        <v>0</v>
      </c>
    </row>
    <row r="2" spans="1:10" x14ac:dyDescent="0.25">
      <c r="A2" s="6" t="s">
        <v>117</v>
      </c>
      <c r="B2">
        <v>11853</v>
      </c>
      <c r="C2" t="s">
        <v>118</v>
      </c>
      <c r="D2">
        <v>6301</v>
      </c>
      <c r="E2" t="s">
        <v>119</v>
      </c>
      <c r="F2">
        <v>12100</v>
      </c>
      <c r="G2" t="s">
        <v>120</v>
      </c>
      <c r="H2">
        <v>2301</v>
      </c>
      <c r="I2" t="s">
        <v>30</v>
      </c>
      <c r="J2" s="5">
        <v>15187</v>
      </c>
    </row>
    <row r="3" spans="1:10" x14ac:dyDescent="0.25">
      <c r="A3">
        <v>146002331</v>
      </c>
      <c r="B3">
        <v>11853</v>
      </c>
      <c r="C3" t="s">
        <v>118</v>
      </c>
      <c r="D3">
        <v>6301</v>
      </c>
      <c r="E3" t="s">
        <v>119</v>
      </c>
      <c r="F3">
        <v>12100</v>
      </c>
      <c r="G3" t="s">
        <v>120</v>
      </c>
      <c r="H3">
        <v>2302</v>
      </c>
      <c r="I3" t="s">
        <v>31</v>
      </c>
      <c r="J3" s="5">
        <v>7468</v>
      </c>
    </row>
    <row r="4" spans="1:10" x14ac:dyDescent="0.25">
      <c r="A4">
        <v>146002331</v>
      </c>
      <c r="B4">
        <v>11853</v>
      </c>
      <c r="C4" t="s">
        <v>118</v>
      </c>
      <c r="D4">
        <v>6301</v>
      </c>
      <c r="E4" t="s">
        <v>119</v>
      </c>
      <c r="F4">
        <v>12100</v>
      </c>
      <c r="G4" t="s">
        <v>120</v>
      </c>
      <c r="H4">
        <v>2304</v>
      </c>
      <c r="I4" t="s">
        <v>32</v>
      </c>
      <c r="J4" s="5">
        <v>12738</v>
      </c>
    </row>
    <row r="5" spans="1:10" x14ac:dyDescent="0.25">
      <c r="A5">
        <v>146002331</v>
      </c>
      <c r="B5">
        <v>11853</v>
      </c>
      <c r="C5" t="s">
        <v>118</v>
      </c>
      <c r="D5">
        <v>6301</v>
      </c>
      <c r="E5" t="s">
        <v>119</v>
      </c>
      <c r="F5">
        <v>12100</v>
      </c>
      <c r="G5" t="s">
        <v>120</v>
      </c>
      <c r="H5">
        <v>2306</v>
      </c>
      <c r="I5" t="s">
        <v>121</v>
      </c>
      <c r="J5" s="5">
        <v>6827</v>
      </c>
    </row>
    <row r="6" spans="1:10" x14ac:dyDescent="0.25">
      <c r="A6">
        <v>146002331</v>
      </c>
      <c r="B6">
        <v>11853</v>
      </c>
      <c r="C6" t="s">
        <v>118</v>
      </c>
      <c r="D6">
        <v>6301</v>
      </c>
      <c r="E6" t="s">
        <v>119</v>
      </c>
      <c r="F6">
        <v>12100</v>
      </c>
      <c r="G6" t="s">
        <v>120</v>
      </c>
      <c r="H6">
        <v>2307</v>
      </c>
      <c r="I6" t="s">
        <v>122</v>
      </c>
      <c r="J6" s="5">
        <v>6525</v>
      </c>
    </row>
    <row r="7" spans="1:10" x14ac:dyDescent="0.25">
      <c r="A7">
        <v>146002331</v>
      </c>
      <c r="B7">
        <v>11853</v>
      </c>
      <c r="C7" t="s">
        <v>118</v>
      </c>
      <c r="D7">
        <v>6301</v>
      </c>
      <c r="E7" t="s">
        <v>119</v>
      </c>
      <c r="F7">
        <v>12100</v>
      </c>
      <c r="G7" t="s">
        <v>120</v>
      </c>
      <c r="H7">
        <v>2308</v>
      </c>
      <c r="I7" t="s">
        <v>123</v>
      </c>
      <c r="J7" s="5">
        <v>101</v>
      </c>
    </row>
    <row r="8" spans="1:10" x14ac:dyDescent="0.25">
      <c r="A8">
        <v>146002331</v>
      </c>
      <c r="B8">
        <v>11853</v>
      </c>
      <c r="C8" t="s">
        <v>118</v>
      </c>
      <c r="D8">
        <v>6301</v>
      </c>
      <c r="E8" t="s">
        <v>119</v>
      </c>
      <c r="F8">
        <v>12100</v>
      </c>
      <c r="G8" t="s">
        <v>120</v>
      </c>
      <c r="H8">
        <v>2310</v>
      </c>
      <c r="I8" t="s">
        <v>124</v>
      </c>
      <c r="J8" s="5">
        <v>8916</v>
      </c>
    </row>
    <row r="9" spans="1:10" x14ac:dyDescent="0.25">
      <c r="A9">
        <v>146002331</v>
      </c>
      <c r="B9">
        <v>11853</v>
      </c>
      <c r="C9" t="s">
        <v>118</v>
      </c>
      <c r="D9">
        <v>6301</v>
      </c>
      <c r="E9" t="s">
        <v>119</v>
      </c>
      <c r="F9">
        <v>12100</v>
      </c>
      <c r="G9" t="s">
        <v>120</v>
      </c>
      <c r="H9">
        <v>2312</v>
      </c>
      <c r="I9" t="s">
        <v>33</v>
      </c>
      <c r="J9" s="5">
        <v>13748</v>
      </c>
    </row>
    <row r="10" spans="1:10" x14ac:dyDescent="0.25">
      <c r="A10">
        <v>146002331</v>
      </c>
      <c r="B10">
        <v>11853</v>
      </c>
      <c r="C10" t="s">
        <v>118</v>
      </c>
      <c r="D10">
        <v>6301</v>
      </c>
      <c r="E10" t="s">
        <v>119</v>
      </c>
      <c r="F10">
        <v>12100</v>
      </c>
      <c r="G10" t="s">
        <v>120</v>
      </c>
      <c r="H10">
        <v>2314</v>
      </c>
      <c r="I10" t="s">
        <v>34</v>
      </c>
      <c r="J10" s="5">
        <v>6857</v>
      </c>
    </row>
    <row r="11" spans="1:10" x14ac:dyDescent="0.25">
      <c r="A11">
        <v>146002331</v>
      </c>
      <c r="B11">
        <v>11853</v>
      </c>
      <c r="C11" t="s">
        <v>118</v>
      </c>
      <c r="D11">
        <v>6301</v>
      </c>
      <c r="E11" t="s">
        <v>119</v>
      </c>
      <c r="F11">
        <v>12100</v>
      </c>
      <c r="G11" t="s">
        <v>120</v>
      </c>
      <c r="H11">
        <v>2315</v>
      </c>
      <c r="I11" t="s">
        <v>125</v>
      </c>
      <c r="J11" s="5">
        <v>8766</v>
      </c>
    </row>
    <row r="12" spans="1:10" x14ac:dyDescent="0.25">
      <c r="A12">
        <v>146002331</v>
      </c>
      <c r="B12">
        <v>11853</v>
      </c>
      <c r="C12" t="s">
        <v>118</v>
      </c>
      <c r="D12">
        <v>6301</v>
      </c>
      <c r="E12" t="s">
        <v>119</v>
      </c>
      <c r="F12">
        <v>12100</v>
      </c>
      <c r="G12" t="s">
        <v>120</v>
      </c>
      <c r="H12">
        <v>2316</v>
      </c>
      <c r="I12" t="s">
        <v>126</v>
      </c>
      <c r="J12" s="5">
        <v>16101</v>
      </c>
    </row>
    <row r="13" spans="1:10" x14ac:dyDescent="0.25">
      <c r="A13">
        <v>146002331</v>
      </c>
      <c r="B13">
        <v>11853</v>
      </c>
      <c r="C13" t="s">
        <v>118</v>
      </c>
      <c r="D13">
        <v>6301</v>
      </c>
      <c r="E13" t="s">
        <v>119</v>
      </c>
      <c r="F13">
        <v>12100</v>
      </c>
      <c r="G13" t="s">
        <v>120</v>
      </c>
      <c r="H13">
        <v>2317</v>
      </c>
      <c r="I13" t="s">
        <v>35</v>
      </c>
      <c r="J13" s="5">
        <v>12558</v>
      </c>
    </row>
    <row r="14" spans="1:10" x14ac:dyDescent="0.25">
      <c r="A14">
        <v>146002331</v>
      </c>
      <c r="B14">
        <v>11853</v>
      </c>
      <c r="C14" t="s">
        <v>118</v>
      </c>
      <c r="D14">
        <v>6301</v>
      </c>
      <c r="E14" t="s">
        <v>119</v>
      </c>
      <c r="F14">
        <v>12100</v>
      </c>
      <c r="G14" t="s">
        <v>120</v>
      </c>
      <c r="H14">
        <v>2319</v>
      </c>
      <c r="I14" t="s">
        <v>36</v>
      </c>
      <c r="J14" s="5">
        <v>29813</v>
      </c>
    </row>
    <row r="15" spans="1:10" x14ac:dyDescent="0.25">
      <c r="J15" s="5">
        <v>145605</v>
      </c>
    </row>
    <row r="18" spans="1:13" x14ac:dyDescent="0.25">
      <c r="B18" t="s">
        <v>127</v>
      </c>
    </row>
    <row r="20" spans="1:13" x14ac:dyDescent="0.25">
      <c r="A20" s="6" t="s">
        <v>117</v>
      </c>
      <c r="B20" t="s">
        <v>13</v>
      </c>
      <c r="C20" t="s">
        <v>24</v>
      </c>
      <c r="D20" t="s">
        <v>25</v>
      </c>
      <c r="E20" t="s">
        <v>26</v>
      </c>
      <c r="F20" t="s">
        <v>27</v>
      </c>
      <c r="G20" t="s">
        <v>28</v>
      </c>
      <c r="H20" t="s">
        <v>1</v>
      </c>
      <c r="I20" t="s">
        <v>29</v>
      </c>
      <c r="J20" s="5" t="s">
        <v>0</v>
      </c>
      <c r="K20" s="6" t="s">
        <v>145</v>
      </c>
    </row>
    <row r="21" spans="1:13" x14ac:dyDescent="0.25">
      <c r="A21">
        <v>146002331</v>
      </c>
      <c r="B21">
        <v>11853</v>
      </c>
      <c r="C21" t="s">
        <v>118</v>
      </c>
      <c r="D21">
        <v>6301</v>
      </c>
      <c r="E21" t="s">
        <v>119</v>
      </c>
      <c r="F21">
        <v>12100</v>
      </c>
      <c r="G21" t="s">
        <v>120</v>
      </c>
      <c r="H21">
        <v>2301</v>
      </c>
      <c r="I21" t="s">
        <v>30</v>
      </c>
      <c r="J21" s="5">
        <v>15187</v>
      </c>
    </row>
    <row r="22" spans="1:13" x14ac:dyDescent="0.25">
      <c r="A22">
        <v>146002331</v>
      </c>
      <c r="B22">
        <v>11853</v>
      </c>
      <c r="C22" t="s">
        <v>118</v>
      </c>
      <c r="D22">
        <v>6301</v>
      </c>
      <c r="E22" t="s">
        <v>119</v>
      </c>
      <c r="F22">
        <v>12100</v>
      </c>
      <c r="G22" t="s">
        <v>120</v>
      </c>
      <c r="H22">
        <v>2302</v>
      </c>
      <c r="I22" t="s">
        <v>31</v>
      </c>
      <c r="J22" s="5">
        <v>7468</v>
      </c>
    </row>
    <row r="23" spans="1:13" x14ac:dyDescent="0.25">
      <c r="A23">
        <v>146002331</v>
      </c>
      <c r="B23">
        <v>11853</v>
      </c>
      <c r="C23" t="s">
        <v>118</v>
      </c>
      <c r="D23">
        <v>6301</v>
      </c>
      <c r="E23" t="s">
        <v>119</v>
      </c>
      <c r="F23">
        <v>12100</v>
      </c>
      <c r="G23" t="s">
        <v>120</v>
      </c>
      <c r="H23">
        <v>2304</v>
      </c>
      <c r="I23" t="s">
        <v>32</v>
      </c>
      <c r="J23" s="5">
        <v>12738</v>
      </c>
    </row>
    <row r="24" spans="1:13" x14ac:dyDescent="0.25">
      <c r="A24">
        <v>146002331</v>
      </c>
      <c r="B24">
        <v>11853</v>
      </c>
      <c r="C24" t="s">
        <v>118</v>
      </c>
      <c r="D24">
        <v>6301</v>
      </c>
      <c r="E24" t="s">
        <v>119</v>
      </c>
      <c r="F24">
        <v>12100</v>
      </c>
      <c r="G24" t="s">
        <v>120</v>
      </c>
      <c r="H24">
        <v>2306</v>
      </c>
      <c r="I24" t="s">
        <v>121</v>
      </c>
      <c r="J24" s="5">
        <v>6827</v>
      </c>
      <c r="K24" s="5">
        <f>-(J24/2)</f>
        <v>-3413.5</v>
      </c>
      <c r="L24" t="s">
        <v>128</v>
      </c>
      <c r="M24" s="6" t="s">
        <v>146</v>
      </c>
    </row>
    <row r="25" spans="1:13" x14ac:dyDescent="0.25">
      <c r="A25">
        <v>146002331</v>
      </c>
      <c r="B25">
        <v>11853</v>
      </c>
      <c r="C25" t="s">
        <v>118</v>
      </c>
      <c r="D25">
        <v>6301</v>
      </c>
      <c r="E25" t="s">
        <v>119</v>
      </c>
      <c r="F25">
        <v>12100</v>
      </c>
      <c r="G25" t="s">
        <v>120</v>
      </c>
      <c r="H25">
        <v>2307</v>
      </c>
      <c r="I25" t="s">
        <v>122</v>
      </c>
      <c r="J25" s="5">
        <v>6525</v>
      </c>
    </row>
    <row r="26" spans="1:13" x14ac:dyDescent="0.25">
      <c r="A26">
        <v>146002331</v>
      </c>
      <c r="B26">
        <v>11853</v>
      </c>
      <c r="C26" t="s">
        <v>118</v>
      </c>
      <c r="D26">
        <v>6301</v>
      </c>
      <c r="E26" t="s">
        <v>119</v>
      </c>
      <c r="F26">
        <v>12100</v>
      </c>
      <c r="G26" t="s">
        <v>120</v>
      </c>
      <c r="H26">
        <v>2308</v>
      </c>
      <c r="I26" t="s">
        <v>123</v>
      </c>
      <c r="J26">
        <v>101</v>
      </c>
      <c r="K26">
        <f>-J26</f>
        <v>-101</v>
      </c>
      <c r="L26" t="s">
        <v>131</v>
      </c>
    </row>
    <row r="27" spans="1:13" x14ac:dyDescent="0.25">
      <c r="A27">
        <v>146002331</v>
      </c>
      <c r="B27">
        <v>11853</v>
      </c>
      <c r="C27" t="s">
        <v>118</v>
      </c>
      <c r="D27">
        <v>6301</v>
      </c>
      <c r="E27" t="s">
        <v>119</v>
      </c>
      <c r="F27">
        <v>12100</v>
      </c>
      <c r="G27" t="s">
        <v>120</v>
      </c>
      <c r="H27">
        <v>2310</v>
      </c>
      <c r="I27" t="s">
        <v>124</v>
      </c>
      <c r="J27">
        <v>8916</v>
      </c>
      <c r="K27">
        <f>-J27</f>
        <v>-8916</v>
      </c>
      <c r="L27" t="s">
        <v>131</v>
      </c>
    </row>
    <row r="28" spans="1:13" x14ac:dyDescent="0.25">
      <c r="A28">
        <v>146002331</v>
      </c>
      <c r="B28">
        <v>11853</v>
      </c>
      <c r="C28" t="s">
        <v>118</v>
      </c>
      <c r="D28">
        <v>6301</v>
      </c>
      <c r="E28" t="s">
        <v>119</v>
      </c>
      <c r="F28">
        <v>12100</v>
      </c>
      <c r="G28" t="s">
        <v>120</v>
      </c>
      <c r="H28">
        <v>2312</v>
      </c>
      <c r="I28" t="s">
        <v>33</v>
      </c>
      <c r="J28" s="5">
        <v>13748</v>
      </c>
    </row>
    <row r="29" spans="1:13" x14ac:dyDescent="0.25">
      <c r="A29">
        <v>146002331</v>
      </c>
      <c r="B29">
        <v>11853</v>
      </c>
      <c r="C29" t="s">
        <v>118</v>
      </c>
      <c r="D29">
        <v>6301</v>
      </c>
      <c r="E29" t="s">
        <v>119</v>
      </c>
      <c r="F29">
        <v>12100</v>
      </c>
      <c r="G29" t="s">
        <v>120</v>
      </c>
      <c r="H29">
        <v>2314</v>
      </c>
      <c r="I29" t="s">
        <v>34</v>
      </c>
      <c r="J29" s="5">
        <v>6857</v>
      </c>
    </row>
    <row r="30" spans="1:13" x14ac:dyDescent="0.25">
      <c r="A30">
        <v>146002331</v>
      </c>
      <c r="B30">
        <v>11853</v>
      </c>
      <c r="C30" t="s">
        <v>118</v>
      </c>
      <c r="D30">
        <v>6301</v>
      </c>
      <c r="E30" t="s">
        <v>119</v>
      </c>
      <c r="F30">
        <v>12100</v>
      </c>
      <c r="G30" t="s">
        <v>120</v>
      </c>
      <c r="H30">
        <v>2315</v>
      </c>
      <c r="I30" t="s">
        <v>125</v>
      </c>
      <c r="J30">
        <v>8766</v>
      </c>
      <c r="K30">
        <f>-J30</f>
        <v>-8766</v>
      </c>
      <c r="L30" t="s">
        <v>131</v>
      </c>
    </row>
    <row r="31" spans="1:13" x14ac:dyDescent="0.25">
      <c r="A31">
        <v>146002331</v>
      </c>
      <c r="B31">
        <v>11853</v>
      </c>
      <c r="C31" t="s">
        <v>118</v>
      </c>
      <c r="D31">
        <v>6301</v>
      </c>
      <c r="E31" t="s">
        <v>119</v>
      </c>
      <c r="F31">
        <v>12100</v>
      </c>
      <c r="G31" t="s">
        <v>120</v>
      </c>
      <c r="H31">
        <v>2316</v>
      </c>
      <c r="I31" t="s">
        <v>126</v>
      </c>
      <c r="J31" s="5">
        <v>16101</v>
      </c>
    </row>
    <row r="32" spans="1:13" x14ac:dyDescent="0.25">
      <c r="A32">
        <v>146002331</v>
      </c>
      <c r="B32">
        <v>11853</v>
      </c>
      <c r="C32" t="s">
        <v>118</v>
      </c>
      <c r="D32">
        <v>6301</v>
      </c>
      <c r="E32" t="s">
        <v>119</v>
      </c>
      <c r="F32">
        <v>12100</v>
      </c>
      <c r="G32" t="s">
        <v>120</v>
      </c>
      <c r="H32">
        <v>2317</v>
      </c>
      <c r="I32" t="s">
        <v>35</v>
      </c>
      <c r="J32" s="5">
        <v>12558</v>
      </c>
    </row>
    <row r="33" spans="1:12" x14ac:dyDescent="0.25">
      <c r="A33">
        <v>146002331</v>
      </c>
      <c r="B33">
        <v>11853</v>
      </c>
      <c r="C33" t="s">
        <v>118</v>
      </c>
      <c r="D33">
        <v>6301</v>
      </c>
      <c r="E33" t="s">
        <v>119</v>
      </c>
      <c r="F33">
        <v>12100</v>
      </c>
      <c r="G33" t="s">
        <v>120</v>
      </c>
      <c r="H33">
        <v>2319</v>
      </c>
      <c r="I33" t="s">
        <v>36</v>
      </c>
      <c r="J33" s="5">
        <v>29813</v>
      </c>
    </row>
    <row r="34" spans="1:12" x14ac:dyDescent="0.25">
      <c r="H34">
        <v>2121</v>
      </c>
      <c r="I34" t="s">
        <v>129</v>
      </c>
      <c r="K34">
        <f>58415*0.2</f>
        <v>11683</v>
      </c>
      <c r="L34" s="6" t="s">
        <v>147</v>
      </c>
    </row>
    <row r="35" spans="1:12" x14ac:dyDescent="0.25">
      <c r="J35" s="5">
        <f>SUM(J21:J34)</f>
        <v>145605</v>
      </c>
    </row>
    <row r="36" spans="1:12" x14ac:dyDescent="0.25">
      <c r="L36" s="46" t="s">
        <v>130</v>
      </c>
    </row>
    <row r="37" spans="1:12" x14ac:dyDescent="0.25">
      <c r="J37" s="32">
        <f>SUM(J21:J34)</f>
        <v>145605</v>
      </c>
      <c r="K37" s="5">
        <f>SUM(K21:K34)</f>
        <v>-9513.5</v>
      </c>
      <c r="L37" s="47">
        <f>SUM(J37:K37)</f>
        <v>136091.5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A2CBB2EE53214F81649A51946FB9DB" ma:contentTypeVersion="13" ma:contentTypeDescription="Opprett et nytt dokument." ma:contentTypeScope="" ma:versionID="d36d475da9d5c6fbbbf690d6f1ad3d47">
  <xsd:schema xmlns:xsd="http://www.w3.org/2001/XMLSchema" xmlns:xs="http://www.w3.org/2001/XMLSchema" xmlns:p="http://schemas.microsoft.com/office/2006/metadata/properties" xmlns:ns2="e62db92a-5034-4243-8877-3cf8ff9fa632" xmlns:ns3="79324832-68d6-43e3-8ae8-e76da0e017b6" targetNamespace="http://schemas.microsoft.com/office/2006/metadata/properties" ma:root="true" ma:fieldsID="50e61f5c4260e6ad3012546c9317eaf4" ns2:_="" ns3:_="">
    <xsd:import namespace="e62db92a-5034-4243-8877-3cf8ff9fa632"/>
    <xsd:import namespace="79324832-68d6-43e3-8ae8-e76da0e017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2db92a-5034-4243-8877-3cf8ff9fa6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83e7b715-a4d4-4160-a2d8-c78dd71ec9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24832-68d6-43e3-8ae8-e76da0e017b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e484c51b-faac-4f82-81ac-9d622b41ef87}" ma:internalName="TaxCatchAll" ma:showField="CatchAllData" ma:web="79324832-68d6-43e3-8ae8-e76da0e017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62db92a-5034-4243-8877-3cf8ff9fa632">
      <Terms xmlns="http://schemas.microsoft.com/office/infopath/2007/PartnerControls"/>
    </lcf76f155ced4ddcb4097134ff3c332f>
    <TaxCatchAll xmlns="79324832-68d6-43e3-8ae8-e76da0e017b6" xsi:nil="true"/>
  </documentManagement>
</p:properties>
</file>

<file path=customXml/itemProps1.xml><?xml version="1.0" encoding="utf-8"?>
<ds:datastoreItem xmlns:ds="http://schemas.openxmlformats.org/officeDocument/2006/customXml" ds:itemID="{EF90FEA4-2F07-49E4-BD60-8849529BA656}"/>
</file>

<file path=customXml/itemProps2.xml><?xml version="1.0" encoding="utf-8"?>
<ds:datastoreItem xmlns:ds="http://schemas.openxmlformats.org/officeDocument/2006/customXml" ds:itemID="{74679AA3-B267-4D7F-A506-3E22CFF3A725}"/>
</file>

<file path=customXml/itemProps3.xml><?xml version="1.0" encoding="utf-8"?>
<ds:datastoreItem xmlns:ds="http://schemas.openxmlformats.org/officeDocument/2006/customXml" ds:itemID="{B07E6A48-C73C-4243-B3D4-447386301E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Oppsummering Kostra 221 - 2025</vt:lpstr>
      <vt:lpstr>Investering of. drift 2025</vt:lpstr>
      <vt:lpstr>Fordeling Brevik oppvekstsenter</vt:lpstr>
      <vt:lpstr>Lønn renhold 2 barnehager</vt:lpstr>
      <vt:lpstr>Forsikringer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Ivar Eidem</dc:creator>
  <cp:lastModifiedBy>Per Ivar Eidem</cp:lastModifiedBy>
  <dcterms:created xsi:type="dcterms:W3CDTF">2026-06-16T10:40:55Z</dcterms:created>
  <dcterms:modified xsi:type="dcterms:W3CDTF">2026-06-30T11:46:18Z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0x0101006DA2CBB2EE53214F81649A51946FB9DB</vt:lpwstr>
  </property>
</Properties>
</file>